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codeName="EstaPastaDeTrabalho"/>
  <workbookProtection workbookAlgorithmName="SHA-512" workbookHashValue="oUiyvxTBWxgHfCE2On7I3KOEIRQJp6Yj0N1IbwItu1TBIDli9c4YN5Jg4mT3CBpO2QwT5i7UlW0wwQhgfhbz+Q==" workbookSaltValue="O2p7qv7VrNXIJndo1ei2Qw==" workbookSpinCount="100000" lockStructure="1"/>
  <bookViews>
    <workbookView xWindow="0" yWindow="0" windowWidth="22260" windowHeight="12645"/>
  </bookViews>
  <sheets>
    <sheet name="Cyclone" sheetId="1" r:id="rId1"/>
    <sheet name="High-Efficiency" sheetId="2" r:id="rId2"/>
    <sheet name="High-Throughput" sheetId="6" r:id="rId3"/>
    <sheet name="Credits" sheetId="5" r:id="rId4"/>
  </sheets>
  <externalReferences>
    <externalReference r:id="rId5"/>
  </externalReferences>
  <definedNames>
    <definedName name="A">'High-Efficiency'!#REF!</definedName>
    <definedName name="A." localSheetId="2">'High-Throughput'!#REF!</definedName>
    <definedName name="A.">'High-Efficiency'!$H$3</definedName>
    <definedName name="A1." localSheetId="2">Cyclone!#REF!</definedName>
    <definedName name="A1.">Cyclone!#REF!</definedName>
    <definedName name="A2." localSheetId="2">Cyclone!#REF!</definedName>
    <definedName name="A2.">Cyclone!#REF!</definedName>
    <definedName name="Ai" localSheetId="2">Cyclone!#REF!</definedName>
    <definedName name="Ai">Cyclone!$B$27</definedName>
    <definedName name="Ao">Cyclone!$B$29</definedName>
    <definedName name="As">Cyclone!$B$28</definedName>
    <definedName name="B">'High-Efficiency'!#REF!</definedName>
    <definedName name="B." localSheetId="2">'High-Throughput'!#REF!</definedName>
    <definedName name="B.">'High-Efficiency'!$H$4</definedName>
    <definedName name="C.">'High-Throughput'!$H$3</definedName>
    <definedName name="D.">'High-Throughput'!$H$4</definedName>
    <definedName name="d1.">Cyclone!$B$11</definedName>
    <definedName name="Dc" localSheetId="2">Cyclone!#REF!</definedName>
    <definedName name="Dc">Cyclone!#REF!</definedName>
    <definedName name="Dc1.">Cyclone!$B$17</definedName>
    <definedName name="Dc2.">Cyclone!$B$18</definedName>
    <definedName name="di">Cyclone!$B$11</definedName>
    <definedName name="drho1">Cyclone!$B$5</definedName>
    <definedName name="drho2">Cyclone!$B$6</definedName>
    <definedName name="E.">[1]Equilibrium!$R$4</definedName>
    <definedName name="F.">[1]Equilibrium!$R$5</definedName>
    <definedName name="fc">Cyclone!$B$26</definedName>
    <definedName name="k_x.a" localSheetId="2">[1]Absorption_packed!#REF!</definedName>
    <definedName name="k_x.a">[1]Absorption_packed!#REF!</definedName>
    <definedName name="L.">[1]Absorption_packed!$B$6</definedName>
    <definedName name="MM.a" localSheetId="2">[1]Absorption_packed!#REF!</definedName>
    <definedName name="MM.a">[1]Absorption_packed!#REF!</definedName>
    <definedName name="MM.b" localSheetId="2">[1]Absorption_packed!#REF!</definedName>
    <definedName name="MM.b">[1]Absorption_packed!#REF!</definedName>
    <definedName name="MM.c" localSheetId="2">[1]Absorption_packed!#REF!</definedName>
    <definedName name="MM.c">[1]Absorption_packed!#REF!</definedName>
    <definedName name="MM_a">[1]Absorption_packed!$E$7</definedName>
    <definedName name="MM_b">[1]Absorption_packed!$E$8</definedName>
    <definedName name="MM_c">[1]Absorption_packed!$E$9</definedName>
    <definedName name="mu1.">Cyclone!$B$7</definedName>
    <definedName name="mu2.">Cyclone!$B$8</definedName>
    <definedName name="n">'High-Efficiency'!$H$5</definedName>
    <definedName name="phi">Cyclone!$B$31</definedName>
    <definedName name="psi">Cyclone!$B$30</definedName>
    <definedName name="Q1.">Cyclone!$B$15</definedName>
    <definedName name="Q2.">Cyclone!$B$16</definedName>
    <definedName name="re">Cyclone!#REF!</definedName>
    <definedName name="rho_f">Cyclone!$B$3</definedName>
    <definedName name="rho_s">Cyclone!$B$4</definedName>
    <definedName name="ro">Cyclone!$B$24</definedName>
    <definedName name="rt">Cyclone!$B$23</definedName>
    <definedName name="S">[1]Absorption_packed!$E$2</definedName>
    <definedName name="solver_adj" localSheetId="0" hidden="1">Cyclone!$B$31</definedName>
    <definedName name="solver_adj" localSheetId="1" hidden="1">'High-Efficiency'!$H$3:$H$5</definedName>
    <definedName name="solver_adj" localSheetId="2" hidden="1">'High-Throughput'!$H$3:$H$4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lhs1" localSheetId="1" hidden="1">'High-Efficiency'!#REF!</definedName>
    <definedName name="solver_lhs1" localSheetId="2" hidden="1">'High-Throughput'!$H$4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1" hidden="1">1</definedName>
    <definedName name="solver_neg" localSheetId="2" hidden="1">2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Cyclone!$J$12</definedName>
    <definedName name="solver_opt" localSheetId="1" hidden="1">'High-Efficiency'!$E$72</definedName>
    <definedName name="solver_opt" localSheetId="2" hidden="1">'High-Throughput'!$E$48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el1" localSheetId="1" hidden="1">3</definedName>
    <definedName name="solver_rel1" localSheetId="2" hidden="1">3</definedName>
    <definedName name="solver_rhs1" localSheetId="1" hidden="1">0</definedName>
    <definedName name="solver_rhs1" localSheetId="2" hidden="1">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1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ui">Cyclone!$B$21</definedName>
    <definedName name="uo">Cyclone!$B$22</definedName>
    <definedName name="V.">[1]Absorption_packed!$B$2</definedName>
    <definedName name="x1.">[1]Absorption_packed!$B$9</definedName>
    <definedName name="x2.">[1]Absorption_packed!$B$7</definedName>
    <definedName name="y1.">[1]Absorption_packed!$B$3</definedName>
    <definedName name="y2.">[1]Absorption_packed!$B$4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3" i="2"/>
  <c r="J36" i="1" l="1"/>
  <c r="J35" i="1"/>
  <c r="D4" i="6" l="1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3" i="6"/>
  <c r="E3" i="6" l="1"/>
  <c r="E5" i="2"/>
  <c r="E6" i="2"/>
  <c r="E7" i="2"/>
  <c r="E9" i="2"/>
  <c r="E10" i="2"/>
  <c r="E11" i="2"/>
  <c r="E12" i="2"/>
  <c r="E13" i="2"/>
  <c r="E14" i="2"/>
  <c r="E15" i="2"/>
  <c r="E16" i="2"/>
  <c r="E18" i="2"/>
  <c r="E19" i="2"/>
  <c r="E20" i="2"/>
  <c r="E21" i="2"/>
  <c r="E22" i="2"/>
  <c r="E23" i="2"/>
  <c r="E24" i="2"/>
  <c r="E26" i="2"/>
  <c r="E27" i="2"/>
  <c r="E28" i="2"/>
  <c r="E29" i="2"/>
  <c r="E30" i="2"/>
  <c r="E31" i="2"/>
  <c r="E32" i="2"/>
  <c r="E34" i="2"/>
  <c r="E35" i="2"/>
  <c r="E36" i="2"/>
  <c r="E37" i="2"/>
  <c r="E38" i="2"/>
  <c r="E39" i="2"/>
  <c r="E40" i="2"/>
  <c r="E42" i="2"/>
  <c r="E43" i="2"/>
  <c r="E44" i="2"/>
  <c r="E45" i="2"/>
  <c r="E46" i="2"/>
  <c r="E47" i="2"/>
  <c r="E48" i="2"/>
  <c r="E49" i="2"/>
  <c r="E50" i="2"/>
  <c r="E51" i="2"/>
  <c r="E52" i="2"/>
  <c r="E54" i="2"/>
  <c r="E55" i="2"/>
  <c r="E56" i="2"/>
  <c r="E57" i="2"/>
  <c r="E58" i="2"/>
  <c r="E59" i="2"/>
  <c r="E60" i="2"/>
  <c r="E62" i="2"/>
  <c r="E63" i="2"/>
  <c r="E64" i="2"/>
  <c r="E65" i="2"/>
  <c r="E66" i="2"/>
  <c r="E67" i="2"/>
  <c r="E68" i="2"/>
  <c r="E70" i="2"/>
  <c r="E3" i="2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" i="2"/>
  <c r="E8" i="2"/>
  <c r="E17" i="2"/>
  <c r="E25" i="2"/>
  <c r="E33" i="2"/>
  <c r="E41" i="2"/>
  <c r="E53" i="2"/>
  <c r="E61" i="2"/>
  <c r="E69" i="2"/>
  <c r="E48" i="6" l="1"/>
  <c r="E72" i="2"/>
  <c r="B6" i="1"/>
  <c r="B36" i="1"/>
  <c r="B35" i="1"/>
  <c r="B18" i="1" l="1"/>
  <c r="B15" i="1"/>
  <c r="B12" i="1" l="1"/>
  <c r="G36" i="1" l="1"/>
  <c r="J11" i="1" l="1"/>
  <c r="G35" i="1"/>
  <c r="O35" i="1"/>
  <c r="H36" i="1"/>
  <c r="M35" i="1"/>
  <c r="L36" i="1"/>
  <c r="I36" i="1" s="1"/>
  <c r="N36" i="1"/>
  <c r="H35" i="1"/>
  <c r="B24" i="1" s="1"/>
  <c r="O36" i="1"/>
  <c r="K36" i="1"/>
  <c r="K35" i="1"/>
  <c r="L35" i="1"/>
  <c r="I35" i="1" s="1"/>
  <c r="N35" i="1"/>
  <c r="M36" i="1"/>
  <c r="P35" i="1" l="1"/>
  <c r="P36" i="1"/>
  <c r="B23" i="1"/>
  <c r="B25" i="1" s="1"/>
  <c r="B27" i="1"/>
  <c r="B29" i="1"/>
  <c r="B22" i="1" s="1"/>
  <c r="B28" i="1" l="1"/>
  <c r="B30" i="1" s="1"/>
  <c r="J12" i="1"/>
</calcChain>
</file>

<file path=xl/sharedStrings.xml><?xml version="1.0" encoding="utf-8"?>
<sst xmlns="http://schemas.openxmlformats.org/spreadsheetml/2006/main" count="114" uniqueCount="92">
  <si>
    <t>rho_f</t>
  </si>
  <si>
    <t>rho_s</t>
  </si>
  <si>
    <t>kg/m³</t>
  </si>
  <si>
    <t>Q1</t>
  </si>
  <si>
    <t>Cyclone</t>
  </si>
  <si>
    <t>Dc1.</t>
  </si>
  <si>
    <t>Dc2.</t>
  </si>
  <si>
    <t>mm</t>
  </si>
  <si>
    <t>m³/h</t>
  </si>
  <si>
    <t>Design</t>
  </si>
  <si>
    <t>high-efficiency</t>
  </si>
  <si>
    <t>high-throughput</t>
  </si>
  <si>
    <t>standard cyclone diameter</t>
  </si>
  <si>
    <t>proposed cyclone diameter</t>
  </si>
  <si>
    <t>standard flow rate</t>
  </si>
  <si>
    <t>proposed flow rate</t>
  </si>
  <si>
    <t>dP</t>
  </si>
  <si>
    <t>drho2</t>
  </si>
  <si>
    <t>drho1</t>
  </si>
  <si>
    <t>pressure drop</t>
  </si>
  <si>
    <t>proposed solid-fluid density difference</t>
  </si>
  <si>
    <t>standard solid-fluid density difference</t>
  </si>
  <si>
    <t>fluid density</t>
  </si>
  <si>
    <t>solid density</t>
  </si>
  <si>
    <t>mN.s/m²</t>
  </si>
  <si>
    <t>proposed viscosity</t>
  </si>
  <si>
    <t>Q1.</t>
  </si>
  <si>
    <t>Q2.</t>
  </si>
  <si>
    <t>mu1.</t>
  </si>
  <si>
    <t>mu2.</t>
  </si>
  <si>
    <t>0.018</t>
  </si>
  <si>
    <t>Physical Properties</t>
  </si>
  <si>
    <t>standard viscosity (air at 1 atm, 20°C)</t>
  </si>
  <si>
    <t>m²</t>
  </si>
  <si>
    <t>m/s</t>
  </si>
  <si>
    <t>ui</t>
  </si>
  <si>
    <t>uo</t>
  </si>
  <si>
    <t>Pressure Drop</t>
  </si>
  <si>
    <t>rt</t>
  </si>
  <si>
    <t>fc</t>
  </si>
  <si>
    <t>As</t>
  </si>
  <si>
    <t>Ai</t>
  </si>
  <si>
    <t>Cyclone Dimensions:</t>
  </si>
  <si>
    <t>Do</t>
  </si>
  <si>
    <t>Ho</t>
  </si>
  <si>
    <t>ai</t>
  </si>
  <si>
    <t>bi</t>
  </si>
  <si>
    <t>Ht</t>
  </si>
  <si>
    <t>Hcil</t>
  </si>
  <si>
    <t>Hcon</t>
  </si>
  <si>
    <t>Db</t>
  </si>
  <si>
    <t>ChemEng Brasil</t>
  </si>
  <si>
    <t>Autor:</t>
  </si>
  <si>
    <t>Lucas Joshua Pires</t>
  </si>
  <si>
    <t>Ano:</t>
  </si>
  <si>
    <t>dp</t>
  </si>
  <si>
    <t>η (%)</t>
  </si>
  <si>
    <t>η' (%)</t>
  </si>
  <si>
    <t>Coefficients</t>
  </si>
  <si>
    <t>E</t>
  </si>
  <si>
    <t>SE</t>
  </si>
  <si>
    <t>C.</t>
  </si>
  <si>
    <t>D.</t>
  </si>
  <si>
    <t>Dt</t>
  </si>
  <si>
    <t>Ao</t>
  </si>
  <si>
    <t>%</t>
  </si>
  <si>
    <t>η</t>
  </si>
  <si>
    <t>recovery efficiency</t>
  </si>
  <si>
    <t>inlet velocity</t>
  </si>
  <si>
    <t>outlet velocity</t>
  </si>
  <si>
    <t>bar</t>
  </si>
  <si>
    <t>Outputs</t>
  </si>
  <si>
    <t>A.</t>
  </si>
  <si>
    <t>B.</t>
  </si>
  <si>
    <t>outlet pipe radius</t>
  </si>
  <si>
    <t>inlet tangential circle radius</t>
  </si>
  <si>
    <t>cyclone friction factor</t>
  </si>
  <si>
    <t>inlet pipe area</t>
  </si>
  <si>
    <t>outlet pipe area</t>
  </si>
  <si>
    <t>cyclone surface area</t>
  </si>
  <si>
    <t>ratio of radii</t>
  </si>
  <si>
    <t>ro</t>
  </si>
  <si>
    <t>rt/ro</t>
  </si>
  <si>
    <t>Dc</t>
  </si>
  <si>
    <t>d1</t>
  </si>
  <si>
    <t>d2</t>
  </si>
  <si>
    <t>Particle size</t>
  </si>
  <si>
    <t>proposed design mean diameter</t>
  </si>
  <si>
    <t>standard design mean diameter</t>
  </si>
  <si>
    <t>n</t>
  </si>
  <si>
    <t>φ</t>
  </si>
  <si>
    <t>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</si>
</sst>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4" borderId="1" xfId="0" applyFont="1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6" xfId="0" applyFont="1" applyBorder="1"/>
    <xf numFmtId="0" fontId="0" fillId="0" borderId="0" xfId="0" applyBorder="1"/>
    <xf numFmtId="0" fontId="0" fillId="0" borderId="7" xfId="0" applyBorder="1"/>
    <xf numFmtId="0" fontId="3" fillId="0" borderId="8" xfId="0" applyFont="1" applyBorder="1"/>
    <xf numFmtId="0" fontId="0" fillId="0" borderId="9" xfId="0" applyBorder="1" applyAlignment="1">
      <alignment horizontal="left"/>
    </xf>
    <xf numFmtId="0" fontId="0" fillId="0" borderId="9" xfId="0" applyBorder="1"/>
    <xf numFmtId="0" fontId="0" fillId="0" borderId="10" xfId="0" applyBorder="1"/>
    <xf numFmtId="165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6" borderId="1" xfId="0" applyFill="1" applyBorder="1"/>
    <xf numFmtId="0" fontId="3" fillId="0" borderId="0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3" fillId="4" borderId="1" xfId="0" applyNumberFormat="1" applyFont="1" applyFill="1" applyBorder="1" applyAlignment="1" applyProtection="1">
      <alignment horizontal="center"/>
      <protection locked="0"/>
    </xf>
    <xf numFmtId="11" fontId="0" fillId="0" borderId="1" xfId="0" applyNumberFormat="1" applyBorder="1" applyAlignment="1">
      <alignment horizontal="center"/>
    </xf>
    <xf numFmtId="11" fontId="0" fillId="6" borderId="1" xfId="0" applyNumberFormat="1" applyFill="1" applyBorder="1" applyAlignment="1">
      <alignment horizontal="center"/>
    </xf>
    <xf numFmtId="0" fontId="4" fillId="7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7" borderId="1" xfId="0" applyFill="1" applyBorder="1" applyAlignment="1" applyProtection="1">
      <alignment horizontal="center"/>
    </xf>
    <xf numFmtId="165" fontId="3" fillId="0" borderId="1" xfId="0" applyNumberFormat="1" applyFont="1" applyFill="1" applyBorder="1" applyAlignment="1" applyProtection="1">
      <alignment horizontal="center"/>
    </xf>
    <xf numFmtId="1" fontId="7" fillId="0" borderId="1" xfId="0" applyNumberFormat="1" applyFont="1" applyFill="1" applyBorder="1" applyAlignment="1" applyProtection="1">
      <alignment horizontal="center"/>
    </xf>
    <xf numFmtId="165" fontId="0" fillId="7" borderId="1" xfId="0" applyNumberFormat="1" applyFill="1" applyBorder="1" applyAlignment="1" applyProtection="1">
      <alignment horizontal="center"/>
    </xf>
    <xf numFmtId="165" fontId="0" fillId="0" borderId="1" xfId="0" applyNumberFormat="1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0" fontId="0" fillId="0" borderId="0" xfId="0" applyProtection="1"/>
    <xf numFmtId="0" fontId="3" fillId="0" borderId="1" xfId="0" applyFont="1" applyBorder="1" applyAlignment="1" applyProtection="1">
      <alignment horizontal="center"/>
    </xf>
    <xf numFmtId="0" fontId="7" fillId="0" borderId="1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0" fillId="6" borderId="1" xfId="0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/>
    </xf>
    <xf numFmtId="165" fontId="7" fillId="6" borderId="1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'High-Efficiency'!$C$2</c:f>
              <c:strCache>
                <c:ptCount val="1"/>
                <c:pt idx="0">
                  <c:v>η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'High-Efficiency'!$B$3:$B$70</c:f>
              <c:numCache>
                <c:formatCode>0.000</c:formatCode>
                <c:ptCount val="68"/>
                <c:pt idx="0">
                  <c:v>0.223</c:v>
                </c:pt>
                <c:pt idx="1">
                  <c:v>0.223</c:v>
                </c:pt>
                <c:pt idx="2">
                  <c:v>0.223</c:v>
                </c:pt>
                <c:pt idx="3">
                  <c:v>0.223</c:v>
                </c:pt>
                <c:pt idx="4">
                  <c:v>0.223</c:v>
                </c:pt>
                <c:pt idx="5">
                  <c:v>0.44600000000000001</c:v>
                </c:pt>
                <c:pt idx="6">
                  <c:v>0.44600000000000001</c:v>
                </c:pt>
                <c:pt idx="7">
                  <c:v>0.44600000000000001</c:v>
                </c:pt>
                <c:pt idx="8">
                  <c:v>0.44600000000000001</c:v>
                </c:pt>
                <c:pt idx="9">
                  <c:v>0.67</c:v>
                </c:pt>
                <c:pt idx="10">
                  <c:v>0.67</c:v>
                </c:pt>
                <c:pt idx="11">
                  <c:v>0.67</c:v>
                </c:pt>
                <c:pt idx="12">
                  <c:v>0.67</c:v>
                </c:pt>
                <c:pt idx="13">
                  <c:v>0.67</c:v>
                </c:pt>
                <c:pt idx="14">
                  <c:v>0.67</c:v>
                </c:pt>
                <c:pt idx="15">
                  <c:v>0.67</c:v>
                </c:pt>
                <c:pt idx="16">
                  <c:v>0.67</c:v>
                </c:pt>
                <c:pt idx="17">
                  <c:v>0.89300000000000002</c:v>
                </c:pt>
                <c:pt idx="18">
                  <c:v>0.89300000000000002</c:v>
                </c:pt>
                <c:pt idx="19">
                  <c:v>1.1200000000000001</c:v>
                </c:pt>
                <c:pt idx="20">
                  <c:v>1.1200000000000001</c:v>
                </c:pt>
                <c:pt idx="21">
                  <c:v>1.34</c:v>
                </c:pt>
                <c:pt idx="22">
                  <c:v>1.34</c:v>
                </c:pt>
                <c:pt idx="23">
                  <c:v>1.56</c:v>
                </c:pt>
                <c:pt idx="24">
                  <c:v>1.56</c:v>
                </c:pt>
                <c:pt idx="25">
                  <c:v>1.79</c:v>
                </c:pt>
                <c:pt idx="26">
                  <c:v>2.0099999999999998</c:v>
                </c:pt>
                <c:pt idx="27">
                  <c:v>2.23</c:v>
                </c:pt>
                <c:pt idx="28">
                  <c:v>2.46</c:v>
                </c:pt>
                <c:pt idx="29">
                  <c:v>2.68</c:v>
                </c:pt>
                <c:pt idx="30">
                  <c:v>2.9</c:v>
                </c:pt>
                <c:pt idx="31">
                  <c:v>3.13</c:v>
                </c:pt>
                <c:pt idx="32">
                  <c:v>3.35</c:v>
                </c:pt>
                <c:pt idx="33">
                  <c:v>4.0199999999999996</c:v>
                </c:pt>
                <c:pt idx="34">
                  <c:v>4.46</c:v>
                </c:pt>
                <c:pt idx="35">
                  <c:v>5.8</c:v>
                </c:pt>
                <c:pt idx="36">
                  <c:v>7.59</c:v>
                </c:pt>
                <c:pt idx="37">
                  <c:v>8.7100000000000009</c:v>
                </c:pt>
                <c:pt idx="38">
                  <c:v>10.9</c:v>
                </c:pt>
                <c:pt idx="39">
                  <c:v>12.9</c:v>
                </c:pt>
                <c:pt idx="40">
                  <c:v>15.2</c:v>
                </c:pt>
                <c:pt idx="41">
                  <c:v>17</c:v>
                </c:pt>
                <c:pt idx="42">
                  <c:v>18.5</c:v>
                </c:pt>
                <c:pt idx="43">
                  <c:v>20.100000000000001</c:v>
                </c:pt>
                <c:pt idx="44">
                  <c:v>22.3</c:v>
                </c:pt>
                <c:pt idx="45">
                  <c:v>24.3</c:v>
                </c:pt>
                <c:pt idx="46">
                  <c:v>26.1</c:v>
                </c:pt>
                <c:pt idx="47">
                  <c:v>26.8</c:v>
                </c:pt>
                <c:pt idx="48">
                  <c:v>29</c:v>
                </c:pt>
                <c:pt idx="49">
                  <c:v>31.3</c:v>
                </c:pt>
                <c:pt idx="50">
                  <c:v>32.1</c:v>
                </c:pt>
                <c:pt idx="51">
                  <c:v>32.799999999999997</c:v>
                </c:pt>
                <c:pt idx="52">
                  <c:v>33</c:v>
                </c:pt>
                <c:pt idx="53">
                  <c:v>33.5</c:v>
                </c:pt>
                <c:pt idx="54">
                  <c:v>34.200000000000003</c:v>
                </c:pt>
                <c:pt idx="55">
                  <c:v>36.200000000000003</c:v>
                </c:pt>
                <c:pt idx="56">
                  <c:v>36.6</c:v>
                </c:pt>
                <c:pt idx="57">
                  <c:v>37.1</c:v>
                </c:pt>
                <c:pt idx="58">
                  <c:v>37.5</c:v>
                </c:pt>
                <c:pt idx="59">
                  <c:v>39.700000000000003</c:v>
                </c:pt>
                <c:pt idx="60">
                  <c:v>40.200000000000003</c:v>
                </c:pt>
                <c:pt idx="61">
                  <c:v>42.4</c:v>
                </c:pt>
                <c:pt idx="62">
                  <c:v>43.1</c:v>
                </c:pt>
                <c:pt idx="63">
                  <c:v>43.5</c:v>
                </c:pt>
                <c:pt idx="64">
                  <c:v>44.2</c:v>
                </c:pt>
                <c:pt idx="65">
                  <c:v>45.1</c:v>
                </c:pt>
                <c:pt idx="66">
                  <c:v>47.3</c:v>
                </c:pt>
                <c:pt idx="67">
                  <c:v>47.5</c:v>
                </c:pt>
              </c:numCache>
            </c:numRef>
          </c:xVal>
          <c:yVal>
            <c:numRef>
              <c:f>'High-Efficiency'!$C$3:$C$70</c:f>
              <c:numCache>
                <c:formatCode>0.0</c:formatCode>
                <c:ptCount val="68"/>
                <c:pt idx="0">
                  <c:v>5.53</c:v>
                </c:pt>
                <c:pt idx="1">
                  <c:v>5.96</c:v>
                </c:pt>
                <c:pt idx="2">
                  <c:v>6.81</c:v>
                </c:pt>
                <c:pt idx="3">
                  <c:v>8.09</c:v>
                </c:pt>
                <c:pt idx="4">
                  <c:v>9.7899999999999991</c:v>
                </c:pt>
                <c:pt idx="5">
                  <c:v>14</c:v>
                </c:pt>
                <c:pt idx="6">
                  <c:v>14.5</c:v>
                </c:pt>
                <c:pt idx="7">
                  <c:v>17.399999999999999</c:v>
                </c:pt>
                <c:pt idx="8">
                  <c:v>18.3</c:v>
                </c:pt>
                <c:pt idx="9">
                  <c:v>22.6</c:v>
                </c:pt>
                <c:pt idx="10">
                  <c:v>23.4</c:v>
                </c:pt>
                <c:pt idx="11">
                  <c:v>24.7</c:v>
                </c:pt>
                <c:pt idx="12">
                  <c:v>26</c:v>
                </c:pt>
                <c:pt idx="13">
                  <c:v>27.7</c:v>
                </c:pt>
                <c:pt idx="14">
                  <c:v>28.9</c:v>
                </c:pt>
                <c:pt idx="15">
                  <c:v>30.2</c:v>
                </c:pt>
                <c:pt idx="16">
                  <c:v>31.9</c:v>
                </c:pt>
                <c:pt idx="17">
                  <c:v>36.200000000000003</c:v>
                </c:pt>
                <c:pt idx="18">
                  <c:v>36.6</c:v>
                </c:pt>
                <c:pt idx="19">
                  <c:v>40.9</c:v>
                </c:pt>
                <c:pt idx="20">
                  <c:v>44.7</c:v>
                </c:pt>
                <c:pt idx="21">
                  <c:v>48.9</c:v>
                </c:pt>
                <c:pt idx="22">
                  <c:v>49.8</c:v>
                </c:pt>
                <c:pt idx="23">
                  <c:v>54</c:v>
                </c:pt>
                <c:pt idx="24">
                  <c:v>55.7</c:v>
                </c:pt>
                <c:pt idx="25">
                  <c:v>59.1</c:v>
                </c:pt>
                <c:pt idx="26">
                  <c:v>62.1</c:v>
                </c:pt>
                <c:pt idx="27">
                  <c:v>65.5</c:v>
                </c:pt>
                <c:pt idx="28">
                  <c:v>68.900000000000006</c:v>
                </c:pt>
                <c:pt idx="29">
                  <c:v>71.900000000000006</c:v>
                </c:pt>
                <c:pt idx="30">
                  <c:v>74.5</c:v>
                </c:pt>
                <c:pt idx="31">
                  <c:v>77.400000000000006</c:v>
                </c:pt>
                <c:pt idx="32">
                  <c:v>79.599999999999994</c:v>
                </c:pt>
                <c:pt idx="33">
                  <c:v>83.8</c:v>
                </c:pt>
                <c:pt idx="34">
                  <c:v>85.1</c:v>
                </c:pt>
                <c:pt idx="35">
                  <c:v>88.5</c:v>
                </c:pt>
                <c:pt idx="36">
                  <c:v>91.1</c:v>
                </c:pt>
                <c:pt idx="37">
                  <c:v>91.9</c:v>
                </c:pt>
                <c:pt idx="38">
                  <c:v>93.2</c:v>
                </c:pt>
                <c:pt idx="39">
                  <c:v>94</c:v>
                </c:pt>
                <c:pt idx="40">
                  <c:v>94.9</c:v>
                </c:pt>
                <c:pt idx="41">
                  <c:v>95.3</c:v>
                </c:pt>
                <c:pt idx="42">
                  <c:v>95.7</c:v>
                </c:pt>
                <c:pt idx="43">
                  <c:v>96.2</c:v>
                </c:pt>
                <c:pt idx="44">
                  <c:v>96.6</c:v>
                </c:pt>
                <c:pt idx="45">
                  <c:v>97</c:v>
                </c:pt>
                <c:pt idx="46">
                  <c:v>97.4</c:v>
                </c:pt>
                <c:pt idx="47">
                  <c:v>97.4</c:v>
                </c:pt>
                <c:pt idx="48">
                  <c:v>97.9</c:v>
                </c:pt>
                <c:pt idx="49">
                  <c:v>98.3</c:v>
                </c:pt>
                <c:pt idx="50">
                  <c:v>98.3</c:v>
                </c:pt>
                <c:pt idx="51">
                  <c:v>98.3</c:v>
                </c:pt>
                <c:pt idx="52">
                  <c:v>98.3</c:v>
                </c:pt>
                <c:pt idx="53">
                  <c:v>98.3</c:v>
                </c:pt>
                <c:pt idx="54">
                  <c:v>98.3</c:v>
                </c:pt>
                <c:pt idx="55">
                  <c:v>98.7</c:v>
                </c:pt>
                <c:pt idx="56">
                  <c:v>98.7</c:v>
                </c:pt>
                <c:pt idx="57">
                  <c:v>98.7</c:v>
                </c:pt>
                <c:pt idx="58">
                  <c:v>98.7</c:v>
                </c:pt>
                <c:pt idx="59">
                  <c:v>99.1</c:v>
                </c:pt>
                <c:pt idx="60">
                  <c:v>99.1</c:v>
                </c:pt>
                <c:pt idx="61">
                  <c:v>99.6</c:v>
                </c:pt>
                <c:pt idx="62">
                  <c:v>99.6</c:v>
                </c:pt>
                <c:pt idx="63">
                  <c:v>99.6</c:v>
                </c:pt>
                <c:pt idx="64">
                  <c:v>99.6</c:v>
                </c:pt>
                <c:pt idx="65">
                  <c:v>99.6</c:v>
                </c:pt>
                <c:pt idx="66">
                  <c:v>100</c:v>
                </c:pt>
                <c:pt idx="67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08-43CE-83D7-4464A7EC38A5}"/>
            </c:ext>
          </c:extLst>
        </c:ser>
        <c:ser>
          <c:idx val="1"/>
          <c:order val="1"/>
          <c:tx>
            <c:strRef>
              <c:f>'High-Efficiency'!$D$2</c:f>
              <c:strCache>
                <c:ptCount val="1"/>
                <c:pt idx="0">
                  <c:v>η'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'High-Efficiency'!$B$3:$B$70</c:f>
              <c:numCache>
                <c:formatCode>0.000</c:formatCode>
                <c:ptCount val="68"/>
                <c:pt idx="0">
                  <c:v>0.223</c:v>
                </c:pt>
                <c:pt idx="1">
                  <c:v>0.223</c:v>
                </c:pt>
                <c:pt idx="2">
                  <c:v>0.223</c:v>
                </c:pt>
                <c:pt idx="3">
                  <c:v>0.223</c:v>
                </c:pt>
                <c:pt idx="4">
                  <c:v>0.223</c:v>
                </c:pt>
                <c:pt idx="5">
                  <c:v>0.44600000000000001</c:v>
                </c:pt>
                <c:pt idx="6">
                  <c:v>0.44600000000000001</c:v>
                </c:pt>
                <c:pt idx="7">
                  <c:v>0.44600000000000001</c:v>
                </c:pt>
                <c:pt idx="8">
                  <c:v>0.44600000000000001</c:v>
                </c:pt>
                <c:pt idx="9">
                  <c:v>0.67</c:v>
                </c:pt>
                <c:pt idx="10">
                  <c:v>0.67</c:v>
                </c:pt>
                <c:pt idx="11">
                  <c:v>0.67</c:v>
                </c:pt>
                <c:pt idx="12">
                  <c:v>0.67</c:v>
                </c:pt>
                <c:pt idx="13">
                  <c:v>0.67</c:v>
                </c:pt>
                <c:pt idx="14">
                  <c:v>0.67</c:v>
                </c:pt>
                <c:pt idx="15">
                  <c:v>0.67</c:v>
                </c:pt>
                <c:pt idx="16">
                  <c:v>0.67</c:v>
                </c:pt>
                <c:pt idx="17">
                  <c:v>0.89300000000000002</c:v>
                </c:pt>
                <c:pt idx="18">
                  <c:v>0.89300000000000002</c:v>
                </c:pt>
                <c:pt idx="19">
                  <c:v>1.1200000000000001</c:v>
                </c:pt>
                <c:pt idx="20">
                  <c:v>1.1200000000000001</c:v>
                </c:pt>
                <c:pt idx="21">
                  <c:v>1.34</c:v>
                </c:pt>
                <c:pt idx="22">
                  <c:v>1.34</c:v>
                </c:pt>
                <c:pt idx="23">
                  <c:v>1.56</c:v>
                </c:pt>
                <c:pt idx="24">
                  <c:v>1.56</c:v>
                </c:pt>
                <c:pt idx="25">
                  <c:v>1.79</c:v>
                </c:pt>
                <c:pt idx="26">
                  <c:v>2.0099999999999998</c:v>
                </c:pt>
                <c:pt idx="27">
                  <c:v>2.23</c:v>
                </c:pt>
                <c:pt idx="28">
                  <c:v>2.46</c:v>
                </c:pt>
                <c:pt idx="29">
                  <c:v>2.68</c:v>
                </c:pt>
                <c:pt idx="30">
                  <c:v>2.9</c:v>
                </c:pt>
                <c:pt idx="31">
                  <c:v>3.13</c:v>
                </c:pt>
                <c:pt idx="32">
                  <c:v>3.35</c:v>
                </c:pt>
                <c:pt idx="33">
                  <c:v>4.0199999999999996</c:v>
                </c:pt>
                <c:pt idx="34">
                  <c:v>4.46</c:v>
                </c:pt>
                <c:pt idx="35">
                  <c:v>5.8</c:v>
                </c:pt>
                <c:pt idx="36">
                  <c:v>7.59</c:v>
                </c:pt>
                <c:pt idx="37">
                  <c:v>8.7100000000000009</c:v>
                </c:pt>
                <c:pt idx="38">
                  <c:v>10.9</c:v>
                </c:pt>
                <c:pt idx="39">
                  <c:v>12.9</c:v>
                </c:pt>
                <c:pt idx="40">
                  <c:v>15.2</c:v>
                </c:pt>
                <c:pt idx="41">
                  <c:v>17</c:v>
                </c:pt>
                <c:pt idx="42">
                  <c:v>18.5</c:v>
                </c:pt>
                <c:pt idx="43">
                  <c:v>20.100000000000001</c:v>
                </c:pt>
                <c:pt idx="44">
                  <c:v>22.3</c:v>
                </c:pt>
                <c:pt idx="45">
                  <c:v>24.3</c:v>
                </c:pt>
                <c:pt idx="46">
                  <c:v>26.1</c:v>
                </c:pt>
                <c:pt idx="47">
                  <c:v>26.8</c:v>
                </c:pt>
                <c:pt idx="48">
                  <c:v>29</c:v>
                </c:pt>
                <c:pt idx="49">
                  <c:v>31.3</c:v>
                </c:pt>
                <c:pt idx="50">
                  <c:v>32.1</c:v>
                </c:pt>
                <c:pt idx="51">
                  <c:v>32.799999999999997</c:v>
                </c:pt>
                <c:pt idx="52">
                  <c:v>33</c:v>
                </c:pt>
                <c:pt idx="53">
                  <c:v>33.5</c:v>
                </c:pt>
                <c:pt idx="54">
                  <c:v>34.200000000000003</c:v>
                </c:pt>
                <c:pt idx="55">
                  <c:v>36.200000000000003</c:v>
                </c:pt>
                <c:pt idx="56">
                  <c:v>36.6</c:v>
                </c:pt>
                <c:pt idx="57">
                  <c:v>37.1</c:v>
                </c:pt>
                <c:pt idx="58">
                  <c:v>37.5</c:v>
                </c:pt>
                <c:pt idx="59">
                  <c:v>39.700000000000003</c:v>
                </c:pt>
                <c:pt idx="60">
                  <c:v>40.200000000000003</c:v>
                </c:pt>
                <c:pt idx="61">
                  <c:v>42.4</c:v>
                </c:pt>
                <c:pt idx="62">
                  <c:v>43.1</c:v>
                </c:pt>
                <c:pt idx="63">
                  <c:v>43.5</c:v>
                </c:pt>
                <c:pt idx="64">
                  <c:v>44.2</c:v>
                </c:pt>
                <c:pt idx="65">
                  <c:v>45.1</c:v>
                </c:pt>
                <c:pt idx="66">
                  <c:v>47.3</c:v>
                </c:pt>
                <c:pt idx="67">
                  <c:v>47.5</c:v>
                </c:pt>
              </c:numCache>
            </c:numRef>
          </c:xVal>
          <c:yVal>
            <c:numRef>
              <c:f>'High-Efficiency'!$D$3:$D$70</c:f>
              <c:numCache>
                <c:formatCode>0.0</c:formatCode>
                <c:ptCount val="68"/>
                <c:pt idx="0">
                  <c:v>7.0848110012669503</c:v>
                </c:pt>
                <c:pt idx="1">
                  <c:v>7.0848110012669503</c:v>
                </c:pt>
                <c:pt idx="2">
                  <c:v>7.0848110012669503</c:v>
                </c:pt>
                <c:pt idx="3">
                  <c:v>7.0848110012669503</c:v>
                </c:pt>
                <c:pt idx="4">
                  <c:v>7.0848110012669503</c:v>
                </c:pt>
                <c:pt idx="5">
                  <c:v>16.976384117071319</c:v>
                </c:pt>
                <c:pt idx="6">
                  <c:v>16.976384117071319</c:v>
                </c:pt>
                <c:pt idx="7">
                  <c:v>16.976384117071319</c:v>
                </c:pt>
                <c:pt idx="8">
                  <c:v>16.976384117071319</c:v>
                </c:pt>
                <c:pt idx="9">
                  <c:v>26.72339446157919</c:v>
                </c:pt>
                <c:pt idx="10">
                  <c:v>26.72339446157919</c:v>
                </c:pt>
                <c:pt idx="11">
                  <c:v>26.72339446157919</c:v>
                </c:pt>
                <c:pt idx="12">
                  <c:v>26.72339446157919</c:v>
                </c:pt>
                <c:pt idx="13">
                  <c:v>26.72339446157919</c:v>
                </c:pt>
                <c:pt idx="14">
                  <c:v>26.72339446157919</c:v>
                </c:pt>
                <c:pt idx="15">
                  <c:v>26.72339446157919</c:v>
                </c:pt>
                <c:pt idx="16">
                  <c:v>26.72339446157919</c:v>
                </c:pt>
                <c:pt idx="17">
                  <c:v>35.418907603891348</c:v>
                </c:pt>
                <c:pt idx="18">
                  <c:v>35.418907603891348</c:v>
                </c:pt>
                <c:pt idx="19">
                  <c:v>43.059534392000025</c:v>
                </c:pt>
                <c:pt idx="20">
                  <c:v>43.059534392000025</c:v>
                </c:pt>
                <c:pt idx="21">
                  <c:v>49.364831863459614</c:v>
                </c:pt>
                <c:pt idx="22">
                  <c:v>49.364831863459614</c:v>
                </c:pt>
                <c:pt idx="23">
                  <c:v>54.725513386336957</c:v>
                </c:pt>
                <c:pt idx="24">
                  <c:v>54.725513386336957</c:v>
                </c:pt>
                <c:pt idx="25">
                  <c:v>59.478451868652236</c:v>
                </c:pt>
                <c:pt idx="26">
                  <c:v>63.34813063162094</c:v>
                </c:pt>
                <c:pt idx="27">
                  <c:v>66.670893679213862</c:v>
                </c:pt>
                <c:pt idx="28">
                  <c:v>69.660989837340679</c:v>
                </c:pt>
                <c:pt idx="29">
                  <c:v>72.137235979162639</c:v>
                </c:pt>
                <c:pt idx="30">
                  <c:v>74.3007115143633</c:v>
                </c:pt>
                <c:pt idx="31">
                  <c:v>76.282250255089536</c:v>
                </c:pt>
                <c:pt idx="32">
                  <c:v>77.951685050464562</c:v>
                </c:pt>
                <c:pt idx="33">
                  <c:v>81.991482426458802</c:v>
                </c:pt>
                <c:pt idx="34">
                  <c:v>84.010635823331114</c:v>
                </c:pt>
                <c:pt idx="35">
                  <c:v>88.266132968181267</c:v>
                </c:pt>
                <c:pt idx="36">
                  <c:v>91.517252294507685</c:v>
                </c:pt>
                <c:pt idx="37">
                  <c:v>92.82102799437385</c:v>
                </c:pt>
                <c:pt idx="38">
                  <c:v>94.521248312211696</c:v>
                </c:pt>
                <c:pt idx="39">
                  <c:v>95.512854416788755</c:v>
                </c:pt>
                <c:pt idx="40">
                  <c:v>96.289103219038665</c:v>
                </c:pt>
                <c:pt idx="41">
                  <c:v>96.729135882984139</c:v>
                </c:pt>
                <c:pt idx="42">
                  <c:v>97.020246156355242</c:v>
                </c:pt>
                <c:pt idx="43">
                  <c:v>97.275131344591102</c:v>
                </c:pt>
                <c:pt idx="44">
                  <c:v>97.556169989733888</c:v>
                </c:pt>
                <c:pt idx="45">
                  <c:v>97.760144328999516</c:v>
                </c:pt>
                <c:pt idx="46">
                  <c:v>97.912382984793965</c:v>
                </c:pt>
                <c:pt idx="47">
                  <c:v>97.965060645794594</c:v>
                </c:pt>
                <c:pt idx="48">
                  <c:v>98.11109971526237</c:v>
                </c:pt>
                <c:pt idx="49">
                  <c:v>98.237941890647818</c:v>
                </c:pt>
                <c:pt idx="50">
                  <c:v>98.277007830364397</c:v>
                </c:pt>
                <c:pt idx="51">
                  <c:v>98.309328175913862</c:v>
                </c:pt>
                <c:pt idx="52">
                  <c:v>98.318261755822377</c:v>
                </c:pt>
                <c:pt idx="53">
                  <c:v>98.340038253196241</c:v>
                </c:pt>
                <c:pt idx="54">
                  <c:v>98.369248938919327</c:v>
                </c:pt>
                <c:pt idx="55">
                  <c:v>98.445313905561491</c:v>
                </c:pt>
                <c:pt idx="56">
                  <c:v>98.459337205034501</c:v>
                </c:pt>
                <c:pt idx="57">
                  <c:v>98.476357623487587</c:v>
                </c:pt>
                <c:pt idx="58">
                  <c:v>98.489582871220023</c:v>
                </c:pt>
                <c:pt idx="59">
                  <c:v>98.556651774547731</c:v>
                </c:pt>
                <c:pt idx="60">
                  <c:v>98.570672402374413</c:v>
                </c:pt>
                <c:pt idx="61">
                  <c:v>98.627681616407827</c:v>
                </c:pt>
                <c:pt idx="62">
                  <c:v>98.64436283612072</c:v>
                </c:pt>
                <c:pt idx="63">
                  <c:v>98.65360592546196</c:v>
                </c:pt>
                <c:pt idx="64">
                  <c:v>98.669298746976622</c:v>
                </c:pt>
                <c:pt idx="65">
                  <c:v>98.688617848698343</c:v>
                </c:pt>
                <c:pt idx="66">
                  <c:v>98.732148351814971</c:v>
                </c:pt>
                <c:pt idx="67">
                  <c:v>98.735866037725813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08-43CE-83D7-4464A7EC3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772336"/>
        <c:axId val="641773320"/>
      </c:scatterChart>
      <c:valAx>
        <c:axId val="641772336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773320"/>
        <c:crosses val="autoZero"/>
        <c:crossBetween val="midCat"/>
      </c:valAx>
      <c:valAx>
        <c:axId val="64177332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772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'High-Throughput'!$C$2</c:f>
              <c:strCache>
                <c:ptCount val="1"/>
                <c:pt idx="0">
                  <c:v>η (%)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'High-Throughput'!$B$3:$B$46</c:f>
              <c:numCache>
                <c:formatCode>0.000</c:formatCode>
                <c:ptCount val="44"/>
                <c:pt idx="0">
                  <c:v>0.223</c:v>
                </c:pt>
                <c:pt idx="1">
                  <c:v>0.44600000000000001</c:v>
                </c:pt>
                <c:pt idx="2">
                  <c:v>0.67</c:v>
                </c:pt>
                <c:pt idx="3">
                  <c:v>1.1200000000000001</c:v>
                </c:pt>
                <c:pt idx="4">
                  <c:v>1.34</c:v>
                </c:pt>
                <c:pt idx="5">
                  <c:v>1.56</c:v>
                </c:pt>
                <c:pt idx="6">
                  <c:v>2.0099999999999998</c:v>
                </c:pt>
                <c:pt idx="7">
                  <c:v>2.23</c:v>
                </c:pt>
                <c:pt idx="8">
                  <c:v>2.46</c:v>
                </c:pt>
                <c:pt idx="9">
                  <c:v>2.68</c:v>
                </c:pt>
                <c:pt idx="10">
                  <c:v>2.9</c:v>
                </c:pt>
                <c:pt idx="11">
                  <c:v>3.35</c:v>
                </c:pt>
                <c:pt idx="12">
                  <c:v>3.79</c:v>
                </c:pt>
                <c:pt idx="13">
                  <c:v>4.46</c:v>
                </c:pt>
                <c:pt idx="14">
                  <c:v>5.13</c:v>
                </c:pt>
                <c:pt idx="15">
                  <c:v>5.36</c:v>
                </c:pt>
                <c:pt idx="16">
                  <c:v>6.03</c:v>
                </c:pt>
                <c:pt idx="17">
                  <c:v>6.25</c:v>
                </c:pt>
                <c:pt idx="18">
                  <c:v>6.92</c:v>
                </c:pt>
                <c:pt idx="19">
                  <c:v>7.37</c:v>
                </c:pt>
                <c:pt idx="20">
                  <c:v>8.26</c:v>
                </c:pt>
                <c:pt idx="21">
                  <c:v>8.93</c:v>
                </c:pt>
                <c:pt idx="22">
                  <c:v>9.82</c:v>
                </c:pt>
                <c:pt idx="23">
                  <c:v>10.7</c:v>
                </c:pt>
                <c:pt idx="24">
                  <c:v>11.2</c:v>
                </c:pt>
                <c:pt idx="25">
                  <c:v>11.6</c:v>
                </c:pt>
                <c:pt idx="26">
                  <c:v>12.7</c:v>
                </c:pt>
                <c:pt idx="27">
                  <c:v>14.3</c:v>
                </c:pt>
                <c:pt idx="28">
                  <c:v>15.4</c:v>
                </c:pt>
                <c:pt idx="29">
                  <c:v>16.100000000000001</c:v>
                </c:pt>
                <c:pt idx="30">
                  <c:v>17.600000000000001</c:v>
                </c:pt>
                <c:pt idx="31">
                  <c:v>19.2</c:v>
                </c:pt>
                <c:pt idx="32">
                  <c:v>21.2</c:v>
                </c:pt>
                <c:pt idx="33">
                  <c:v>22.1</c:v>
                </c:pt>
                <c:pt idx="34">
                  <c:v>23</c:v>
                </c:pt>
                <c:pt idx="35">
                  <c:v>24.6</c:v>
                </c:pt>
                <c:pt idx="36">
                  <c:v>26.1</c:v>
                </c:pt>
                <c:pt idx="37">
                  <c:v>28.1</c:v>
                </c:pt>
                <c:pt idx="38">
                  <c:v>29.2</c:v>
                </c:pt>
                <c:pt idx="39">
                  <c:v>31.5</c:v>
                </c:pt>
                <c:pt idx="40">
                  <c:v>33.299999999999997</c:v>
                </c:pt>
                <c:pt idx="41">
                  <c:v>35.5</c:v>
                </c:pt>
                <c:pt idx="42">
                  <c:v>37.700000000000003</c:v>
                </c:pt>
                <c:pt idx="43">
                  <c:v>38.200000000000003</c:v>
                </c:pt>
              </c:numCache>
            </c:numRef>
          </c:xVal>
          <c:yVal>
            <c:numRef>
              <c:f>'High-Throughput'!$C$3:$C$46</c:f>
              <c:numCache>
                <c:formatCode>0.0</c:formatCode>
                <c:ptCount val="44"/>
                <c:pt idx="0">
                  <c:v>1.7</c:v>
                </c:pt>
                <c:pt idx="1">
                  <c:v>5.53</c:v>
                </c:pt>
                <c:pt idx="2">
                  <c:v>9.7899999999999991</c:v>
                </c:pt>
                <c:pt idx="3">
                  <c:v>14</c:v>
                </c:pt>
                <c:pt idx="4">
                  <c:v>16.2</c:v>
                </c:pt>
                <c:pt idx="5">
                  <c:v>19.100000000000001</c:v>
                </c:pt>
                <c:pt idx="6">
                  <c:v>23.4</c:v>
                </c:pt>
                <c:pt idx="7">
                  <c:v>25.5</c:v>
                </c:pt>
                <c:pt idx="8">
                  <c:v>27.7</c:v>
                </c:pt>
                <c:pt idx="9">
                  <c:v>29.8</c:v>
                </c:pt>
                <c:pt idx="10">
                  <c:v>31.9</c:v>
                </c:pt>
                <c:pt idx="11">
                  <c:v>36.200000000000003</c:v>
                </c:pt>
                <c:pt idx="12">
                  <c:v>39.1</c:v>
                </c:pt>
                <c:pt idx="13">
                  <c:v>43.4</c:v>
                </c:pt>
                <c:pt idx="14">
                  <c:v>47.7</c:v>
                </c:pt>
                <c:pt idx="15">
                  <c:v>48.9</c:v>
                </c:pt>
                <c:pt idx="16">
                  <c:v>52.8</c:v>
                </c:pt>
                <c:pt idx="17">
                  <c:v>54</c:v>
                </c:pt>
                <c:pt idx="18">
                  <c:v>57.4</c:v>
                </c:pt>
                <c:pt idx="19">
                  <c:v>59.6</c:v>
                </c:pt>
                <c:pt idx="20">
                  <c:v>63.4</c:v>
                </c:pt>
                <c:pt idx="21">
                  <c:v>66</c:v>
                </c:pt>
                <c:pt idx="22">
                  <c:v>69.400000000000006</c:v>
                </c:pt>
                <c:pt idx="23">
                  <c:v>72.3</c:v>
                </c:pt>
                <c:pt idx="24">
                  <c:v>73.599999999999994</c:v>
                </c:pt>
                <c:pt idx="25">
                  <c:v>74.900000000000006</c:v>
                </c:pt>
                <c:pt idx="26">
                  <c:v>77.900000000000006</c:v>
                </c:pt>
                <c:pt idx="27">
                  <c:v>81.3</c:v>
                </c:pt>
                <c:pt idx="28">
                  <c:v>83.8</c:v>
                </c:pt>
                <c:pt idx="29">
                  <c:v>85.1</c:v>
                </c:pt>
                <c:pt idx="30">
                  <c:v>87.7</c:v>
                </c:pt>
                <c:pt idx="31">
                  <c:v>90.2</c:v>
                </c:pt>
                <c:pt idx="32">
                  <c:v>92.8</c:v>
                </c:pt>
                <c:pt idx="33">
                  <c:v>93.6</c:v>
                </c:pt>
                <c:pt idx="34">
                  <c:v>94.5</c:v>
                </c:pt>
                <c:pt idx="35">
                  <c:v>95.7</c:v>
                </c:pt>
                <c:pt idx="36">
                  <c:v>96.6</c:v>
                </c:pt>
                <c:pt idx="37">
                  <c:v>97.4</c:v>
                </c:pt>
                <c:pt idx="38">
                  <c:v>97.9</c:v>
                </c:pt>
                <c:pt idx="39">
                  <c:v>98.7</c:v>
                </c:pt>
                <c:pt idx="40">
                  <c:v>99.1</c:v>
                </c:pt>
                <c:pt idx="41">
                  <c:v>99.6</c:v>
                </c:pt>
                <c:pt idx="42">
                  <c:v>100</c:v>
                </c:pt>
                <c:pt idx="43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46-43F0-BE2A-1659E786BB4A}"/>
            </c:ext>
          </c:extLst>
        </c:ser>
        <c:ser>
          <c:idx val="1"/>
          <c:order val="1"/>
          <c:tx>
            <c:strRef>
              <c:f>'High-Throughput'!$D$2</c:f>
              <c:strCache>
                <c:ptCount val="1"/>
                <c:pt idx="0">
                  <c:v>η'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'High-Throughput'!$B$3:$B$46</c:f>
              <c:numCache>
                <c:formatCode>0.000</c:formatCode>
                <c:ptCount val="44"/>
                <c:pt idx="0">
                  <c:v>0.223</c:v>
                </c:pt>
                <c:pt idx="1">
                  <c:v>0.44600000000000001</c:v>
                </c:pt>
                <c:pt idx="2">
                  <c:v>0.67</c:v>
                </c:pt>
                <c:pt idx="3">
                  <c:v>1.1200000000000001</c:v>
                </c:pt>
                <c:pt idx="4">
                  <c:v>1.34</c:v>
                </c:pt>
                <c:pt idx="5">
                  <c:v>1.56</c:v>
                </c:pt>
                <c:pt idx="6">
                  <c:v>2.0099999999999998</c:v>
                </c:pt>
                <c:pt idx="7">
                  <c:v>2.23</c:v>
                </c:pt>
                <c:pt idx="8">
                  <c:v>2.46</c:v>
                </c:pt>
                <c:pt idx="9">
                  <c:v>2.68</c:v>
                </c:pt>
                <c:pt idx="10">
                  <c:v>2.9</c:v>
                </c:pt>
                <c:pt idx="11">
                  <c:v>3.35</c:v>
                </c:pt>
                <c:pt idx="12">
                  <c:v>3.79</c:v>
                </c:pt>
                <c:pt idx="13">
                  <c:v>4.46</c:v>
                </c:pt>
                <c:pt idx="14">
                  <c:v>5.13</c:v>
                </c:pt>
                <c:pt idx="15">
                  <c:v>5.36</c:v>
                </c:pt>
                <c:pt idx="16">
                  <c:v>6.03</c:v>
                </c:pt>
                <c:pt idx="17">
                  <c:v>6.25</c:v>
                </c:pt>
                <c:pt idx="18">
                  <c:v>6.92</c:v>
                </c:pt>
                <c:pt idx="19">
                  <c:v>7.37</c:v>
                </c:pt>
                <c:pt idx="20">
                  <c:v>8.26</c:v>
                </c:pt>
                <c:pt idx="21">
                  <c:v>8.93</c:v>
                </c:pt>
                <c:pt idx="22">
                  <c:v>9.82</c:v>
                </c:pt>
                <c:pt idx="23">
                  <c:v>10.7</c:v>
                </c:pt>
                <c:pt idx="24">
                  <c:v>11.2</c:v>
                </c:pt>
                <c:pt idx="25">
                  <c:v>11.6</c:v>
                </c:pt>
                <c:pt idx="26">
                  <c:v>12.7</c:v>
                </c:pt>
                <c:pt idx="27">
                  <c:v>14.3</c:v>
                </c:pt>
                <c:pt idx="28">
                  <c:v>15.4</c:v>
                </c:pt>
                <c:pt idx="29">
                  <c:v>16.100000000000001</c:v>
                </c:pt>
                <c:pt idx="30">
                  <c:v>17.600000000000001</c:v>
                </c:pt>
                <c:pt idx="31">
                  <c:v>19.2</c:v>
                </c:pt>
                <c:pt idx="32">
                  <c:v>21.2</c:v>
                </c:pt>
                <c:pt idx="33">
                  <c:v>22.1</c:v>
                </c:pt>
                <c:pt idx="34">
                  <c:v>23</c:v>
                </c:pt>
                <c:pt idx="35">
                  <c:v>24.6</c:v>
                </c:pt>
                <c:pt idx="36">
                  <c:v>26.1</c:v>
                </c:pt>
                <c:pt idx="37">
                  <c:v>28.1</c:v>
                </c:pt>
                <c:pt idx="38">
                  <c:v>29.2</c:v>
                </c:pt>
                <c:pt idx="39">
                  <c:v>31.5</c:v>
                </c:pt>
                <c:pt idx="40">
                  <c:v>33.299999999999997</c:v>
                </c:pt>
                <c:pt idx="41">
                  <c:v>35.5</c:v>
                </c:pt>
                <c:pt idx="42">
                  <c:v>37.700000000000003</c:v>
                </c:pt>
                <c:pt idx="43">
                  <c:v>38.200000000000003</c:v>
                </c:pt>
              </c:numCache>
            </c:numRef>
          </c:xVal>
          <c:yVal>
            <c:numRef>
              <c:f>'High-Throughput'!$D$3:$D$46</c:f>
              <c:numCache>
                <c:formatCode>0.0</c:formatCode>
                <c:ptCount val="44"/>
                <c:pt idx="0">
                  <c:v>2.7264914426729994</c:v>
                </c:pt>
                <c:pt idx="1">
                  <c:v>5.3786457378912624</c:v>
                </c:pt>
                <c:pt idx="2">
                  <c:v>7.9698986066333255</c:v>
                </c:pt>
                <c:pt idx="3">
                  <c:v>12.96304188152436</c:v>
                </c:pt>
                <c:pt idx="4">
                  <c:v>15.304607865053754</c:v>
                </c:pt>
                <c:pt idx="5">
                  <c:v>17.583178808732157</c:v>
                </c:pt>
                <c:pt idx="6">
                  <c:v>22.054751444142983</c:v>
                </c:pt>
                <c:pt idx="7">
                  <c:v>24.151723591650082</c:v>
                </c:pt>
                <c:pt idx="8">
                  <c:v>26.283717919127515</c:v>
                </c:pt>
                <c:pt idx="9">
                  <c:v>28.266918379868578</c:v>
                </c:pt>
                <c:pt idx="10">
                  <c:v>30.196764891613249</c:v>
                </c:pt>
                <c:pt idx="11">
                  <c:v>33.9839846296696</c:v>
                </c:pt>
                <c:pt idx="12">
                  <c:v>37.488284987168612</c:v>
                </c:pt>
                <c:pt idx="13">
                  <c:v>42.470421705990638</c:v>
                </c:pt>
                <c:pt idx="14">
                  <c:v>47.055489361411759</c:v>
                </c:pt>
                <c:pt idx="15">
                  <c:v>48.543693911357074</c:v>
                </c:pt>
                <c:pt idx="16">
                  <c:v>52.64473058921525</c:v>
                </c:pt>
                <c:pt idx="17">
                  <c:v>53.918741962249477</c:v>
                </c:pt>
                <c:pt idx="18">
                  <c:v>57.59139511397121</c:v>
                </c:pt>
                <c:pt idx="19">
                  <c:v>59.892313141995309</c:v>
                </c:pt>
                <c:pt idx="20">
                  <c:v>64.081914218212134</c:v>
                </c:pt>
                <c:pt idx="21">
                  <c:v>66.944577296074272</c:v>
                </c:pt>
                <c:pt idx="22">
                  <c:v>70.397517370968941</c:v>
                </c:pt>
                <c:pt idx="23">
                  <c:v>73.456888937677036</c:v>
                </c:pt>
                <c:pt idx="24">
                  <c:v>75.052133065555097</c:v>
                </c:pt>
                <c:pt idx="25">
                  <c:v>76.259018566195763</c:v>
                </c:pt>
                <c:pt idx="26">
                  <c:v>79.285332195267131</c:v>
                </c:pt>
                <c:pt idx="27">
                  <c:v>83.012151135701671</c:v>
                </c:pt>
                <c:pt idx="28">
                  <c:v>85.177648448025622</c:v>
                </c:pt>
                <c:pt idx="29">
                  <c:v>86.409648558033808</c:v>
                </c:pt>
                <c:pt idx="30">
                  <c:v>88.715726381260836</c:v>
                </c:pt>
                <c:pt idx="31">
                  <c:v>90.745948500838551</c:v>
                </c:pt>
                <c:pt idx="32">
                  <c:v>92.778068988629542</c:v>
                </c:pt>
                <c:pt idx="33">
                  <c:v>93.540523225079639</c:v>
                </c:pt>
                <c:pt idx="34">
                  <c:v>94.222487598096734</c:v>
                </c:pt>
                <c:pt idx="35">
                  <c:v>95.262003137500173</c:v>
                </c:pt>
                <c:pt idx="36">
                  <c:v>96.0660305225</c:v>
                </c:pt>
                <c:pt idx="37">
                  <c:v>96.929970147575574</c:v>
                </c:pt>
                <c:pt idx="38">
                  <c:v>97.321374388921186</c:v>
                </c:pt>
                <c:pt idx="39">
                  <c:v>97.985994704279136</c:v>
                </c:pt>
                <c:pt idx="40">
                  <c:v>98.388884035352888</c:v>
                </c:pt>
                <c:pt idx="41">
                  <c:v>98.773572411074696</c:v>
                </c:pt>
                <c:pt idx="42">
                  <c:v>99.066439526106734</c:v>
                </c:pt>
                <c:pt idx="43">
                  <c:v>99.122578479023218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46-43F0-BE2A-1659E786B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772336"/>
        <c:axId val="641773320"/>
      </c:scatterChart>
      <c:valAx>
        <c:axId val="641772336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773320"/>
        <c:crosses val="autoZero"/>
        <c:crossBetween val="midCat"/>
      </c:valAx>
      <c:valAx>
        <c:axId val="64177332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772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Style="combo" dx="22" fmlaLink="$I$2" fmlaRange="$E$35:$E$36" noThreeD="1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38100</xdr:colOff>
      <xdr:row>0</xdr:row>
      <xdr:rowOff>47625</xdr:rowOff>
    </xdr:from>
    <xdr:to>
      <xdr:col>19</xdr:col>
      <xdr:colOff>447243</xdr:colOff>
      <xdr:row>21</xdr:row>
      <xdr:rowOff>161411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67750" y="47625"/>
          <a:ext cx="3457143" cy="411428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1</xdr:row>
          <xdr:rowOff>0</xdr:rowOff>
        </xdr:from>
        <xdr:to>
          <xdr:col>10</xdr:col>
          <xdr:colOff>19050</xdr:colOff>
          <xdr:row>1</xdr:row>
          <xdr:rowOff>180975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18</xdr:col>
      <xdr:colOff>304800</xdr:colOff>
      <xdr:row>16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18</xdr:col>
      <xdr:colOff>304800</xdr:colOff>
      <xdr:row>16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bsorption_concentrated_packed_to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sorption_packed"/>
      <sheetName val="Equilibrium"/>
      <sheetName val="Operation"/>
      <sheetName val="Credits"/>
    </sheetNames>
    <sheetDataSet>
      <sheetData sheetId="0">
        <row r="2">
          <cell r="B2">
            <v>6.5300000000000004E-4</v>
          </cell>
          <cell r="E2">
            <v>9.2899999999999996E-2</v>
          </cell>
        </row>
        <row r="3">
          <cell r="B3">
            <v>0.2</v>
          </cell>
        </row>
        <row r="4">
          <cell r="B4">
            <v>0.02</v>
          </cell>
        </row>
        <row r="6">
          <cell r="B6">
            <v>4.2000000000000003E-2</v>
          </cell>
        </row>
        <row r="7">
          <cell r="B7">
            <v>0</v>
          </cell>
          <cell r="E7">
            <v>64.099999999999994</v>
          </cell>
        </row>
        <row r="8">
          <cell r="E8">
            <v>29</v>
          </cell>
        </row>
        <row r="9">
          <cell r="B9">
            <v>3.5569096465060041E-3</v>
          </cell>
          <cell r="E9">
            <v>18</v>
          </cell>
        </row>
      </sheetData>
      <sheetData sheetId="1">
        <row r="3">
          <cell r="R3">
            <v>11.467356902472577</v>
          </cell>
        </row>
        <row r="4">
          <cell r="R4">
            <v>32.564812758541194</v>
          </cell>
        </row>
        <row r="5">
          <cell r="R5">
            <v>-1.2661060792755242E-2</v>
          </cell>
        </row>
      </sheetData>
      <sheetData sheetId="2">
        <row r="3">
          <cell r="C3">
            <v>-2500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1"/>
  <dimension ref="A2:P36"/>
  <sheetViews>
    <sheetView showGridLines="0" tabSelected="1" workbookViewId="0">
      <selection activeCell="L2" sqref="L2:M2"/>
    </sheetView>
  </sheetViews>
  <sheetFormatPr defaultRowHeight="15" x14ac:dyDescent="0.25"/>
  <cols>
    <col min="2" max="2" width="10.5703125" bestFit="1" customWidth="1"/>
  </cols>
  <sheetData>
    <row r="2" spans="1:14" x14ac:dyDescent="0.25">
      <c r="A2" s="52" t="s">
        <v>31</v>
      </c>
      <c r="B2" s="52"/>
      <c r="H2" s="1" t="s">
        <v>9</v>
      </c>
      <c r="I2" s="9">
        <v>1</v>
      </c>
      <c r="L2" s="53" t="s">
        <v>4</v>
      </c>
      <c r="M2" s="53"/>
    </row>
    <row r="3" spans="1:14" x14ac:dyDescent="0.25">
      <c r="A3" s="41" t="s">
        <v>0</v>
      </c>
      <c r="B3" s="8">
        <v>0.6</v>
      </c>
      <c r="C3" t="s">
        <v>2</v>
      </c>
      <c r="D3" t="s">
        <v>22</v>
      </c>
    </row>
    <row r="4" spans="1:14" x14ac:dyDescent="0.25">
      <c r="A4" s="41" t="s">
        <v>1</v>
      </c>
      <c r="B4" s="8">
        <v>5240</v>
      </c>
      <c r="C4" t="s">
        <v>2</v>
      </c>
      <c r="D4" t="s">
        <v>23</v>
      </c>
    </row>
    <row r="5" spans="1:14" x14ac:dyDescent="0.25">
      <c r="A5" s="32" t="s">
        <v>18</v>
      </c>
      <c r="B5" s="32">
        <v>2000</v>
      </c>
      <c r="C5" t="s">
        <v>2</v>
      </c>
      <c r="D5" t="s">
        <v>21</v>
      </c>
    </row>
    <row r="6" spans="1:14" x14ac:dyDescent="0.25">
      <c r="A6" s="33" t="s">
        <v>17</v>
      </c>
      <c r="B6" s="33">
        <f>B4-B3</f>
        <v>5239.3999999999996</v>
      </c>
      <c r="C6" t="s">
        <v>2</v>
      </c>
      <c r="D6" t="s">
        <v>20</v>
      </c>
    </row>
    <row r="7" spans="1:14" x14ac:dyDescent="0.25">
      <c r="A7" s="34" t="s">
        <v>28</v>
      </c>
      <c r="B7" s="34" t="s">
        <v>30</v>
      </c>
      <c r="C7" t="s">
        <v>24</v>
      </c>
      <c r="D7" t="s">
        <v>32</v>
      </c>
    </row>
    <row r="8" spans="1:14" x14ac:dyDescent="0.25">
      <c r="A8" s="41" t="s">
        <v>29</v>
      </c>
      <c r="B8" s="8">
        <v>1.7999999999999999E-2</v>
      </c>
      <c r="C8" t="s">
        <v>24</v>
      </c>
      <c r="D8" t="s">
        <v>25</v>
      </c>
      <c r="H8" s="11"/>
      <c r="I8" s="11"/>
      <c r="J8" s="11"/>
      <c r="K8" s="11"/>
      <c r="L8" s="11"/>
      <c r="M8" s="11"/>
      <c r="N8" s="11"/>
    </row>
    <row r="9" spans="1:14" x14ac:dyDescent="0.25">
      <c r="A9" s="42"/>
      <c r="B9" s="42"/>
      <c r="H9" s="11"/>
      <c r="I9" s="11"/>
      <c r="J9" s="11"/>
      <c r="K9" s="11"/>
      <c r="L9" s="11"/>
      <c r="M9" s="11"/>
      <c r="N9" s="11"/>
    </row>
    <row r="10" spans="1:14" x14ac:dyDescent="0.25">
      <c r="A10" s="54" t="s">
        <v>86</v>
      </c>
      <c r="B10" s="54"/>
      <c r="G10" s="7"/>
      <c r="H10" s="11"/>
      <c r="I10" s="56" t="s">
        <v>71</v>
      </c>
      <c r="J10" s="56"/>
      <c r="K10" s="11"/>
      <c r="L10" s="11"/>
      <c r="M10" s="11"/>
      <c r="N10" s="11"/>
    </row>
    <row r="11" spans="1:14" x14ac:dyDescent="0.25">
      <c r="A11" s="41" t="s">
        <v>84</v>
      </c>
      <c r="B11" s="29">
        <v>5</v>
      </c>
      <c r="C11" t="s">
        <v>7</v>
      </c>
      <c r="D11" t="s">
        <v>88</v>
      </c>
      <c r="G11" s="22"/>
      <c r="H11" s="11"/>
      <c r="I11" s="18" t="s">
        <v>66</v>
      </c>
      <c r="J11" s="28">
        <f>B35*(1/(A.+(B./B12)^2))+B36*C.*(1-EXP(-D.*B12))</f>
        <v>97.979618098956294</v>
      </c>
      <c r="K11" s="11" t="s">
        <v>65</v>
      </c>
      <c r="L11" s="11" t="s">
        <v>67</v>
      </c>
      <c r="M11" s="11"/>
      <c r="N11" s="11"/>
    </row>
    <row r="12" spans="1:14" x14ac:dyDescent="0.25">
      <c r="A12" s="43" t="s">
        <v>85</v>
      </c>
      <c r="B12" s="35">
        <f>di*(((Dc2./Dc1.)^3)*(Q1./Q2.)*(drho1/drho2)*(mu2./mu1.))^(1/2)</f>
        <v>4.5025368830006904</v>
      </c>
      <c r="C12" t="s">
        <v>7</v>
      </c>
      <c r="D12" t="s">
        <v>87</v>
      </c>
      <c r="G12" s="22"/>
      <c r="H12" s="11"/>
      <c r="I12" s="5" t="s">
        <v>16</v>
      </c>
      <c r="J12" s="47">
        <f>0.001*((rho_f/Dc1.)*(ui*ui)*(1+2*phi*((2*rt/ro)-1))+2*uo*uo)</f>
        <v>0.12084515626533275</v>
      </c>
      <c r="K12" s="11" t="s">
        <v>70</v>
      </c>
      <c r="L12" s="11" t="s">
        <v>19</v>
      </c>
      <c r="M12" s="11"/>
      <c r="N12" s="11"/>
    </row>
    <row r="13" spans="1:14" x14ac:dyDescent="0.25">
      <c r="A13" s="42"/>
      <c r="B13" s="42"/>
      <c r="H13" s="11"/>
      <c r="I13" s="11"/>
      <c r="J13" s="11"/>
      <c r="K13" s="11"/>
      <c r="L13" s="11"/>
      <c r="M13" s="11"/>
      <c r="N13" s="11"/>
    </row>
    <row r="14" spans="1:14" x14ac:dyDescent="0.25">
      <c r="A14" s="55" t="s">
        <v>4</v>
      </c>
      <c r="B14" s="55"/>
      <c r="H14" s="11"/>
      <c r="I14" s="11"/>
      <c r="J14" s="11"/>
      <c r="K14" s="11"/>
      <c r="L14" s="11"/>
      <c r="M14" s="11"/>
      <c r="N14" s="11"/>
    </row>
    <row r="15" spans="1:14" x14ac:dyDescent="0.25">
      <c r="A15" s="34" t="s">
        <v>26</v>
      </c>
      <c r="B15" s="32">
        <f>C35*B35+C36*B36</f>
        <v>223</v>
      </c>
      <c r="C15" t="s">
        <v>8</v>
      </c>
      <c r="D15" t="s">
        <v>14</v>
      </c>
      <c r="G15" s="6"/>
      <c r="H15" s="11"/>
      <c r="I15" s="11"/>
      <c r="J15" s="11"/>
      <c r="K15" s="11"/>
      <c r="L15" s="11"/>
      <c r="M15" s="11"/>
      <c r="N15" s="11"/>
    </row>
    <row r="16" spans="1:14" x14ac:dyDescent="0.25">
      <c r="A16" s="41" t="s">
        <v>27</v>
      </c>
      <c r="B16" s="8">
        <v>1000</v>
      </c>
      <c r="C16" t="s">
        <v>8</v>
      </c>
      <c r="D16" t="s">
        <v>15</v>
      </c>
      <c r="H16" s="11"/>
      <c r="I16" s="11"/>
      <c r="J16" s="11"/>
      <c r="K16" s="11"/>
      <c r="L16" s="11"/>
      <c r="M16" s="11"/>
      <c r="N16" s="11"/>
    </row>
    <row r="17" spans="1:14" x14ac:dyDescent="0.25">
      <c r="A17" s="34" t="s">
        <v>5</v>
      </c>
      <c r="B17" s="32">
        <v>203</v>
      </c>
      <c r="C17" t="s">
        <v>7</v>
      </c>
      <c r="D17" t="s">
        <v>12</v>
      </c>
      <c r="H17" s="11"/>
      <c r="I17" s="11"/>
      <c r="J17" s="11"/>
      <c r="K17" s="11"/>
      <c r="L17" s="11"/>
      <c r="M17" s="11"/>
      <c r="N17" s="11"/>
    </row>
    <row r="18" spans="1:14" x14ac:dyDescent="0.25">
      <c r="A18" s="44" t="s">
        <v>6</v>
      </c>
      <c r="B18" s="36">
        <f>J35*B35+J36*B36</f>
        <v>430.33148291193521</v>
      </c>
      <c r="C18" t="s">
        <v>7</v>
      </c>
      <c r="D18" t="s">
        <v>13</v>
      </c>
    </row>
    <row r="19" spans="1:14" x14ac:dyDescent="0.25">
      <c r="A19" s="42"/>
      <c r="B19" s="42"/>
    </row>
    <row r="20" spans="1:14" x14ac:dyDescent="0.25">
      <c r="A20" s="51" t="s">
        <v>37</v>
      </c>
      <c r="B20" s="51"/>
      <c r="G20" s="1"/>
    </row>
    <row r="21" spans="1:14" x14ac:dyDescent="0.25">
      <c r="A21" s="34" t="s">
        <v>35</v>
      </c>
      <c r="B21" s="37">
        <v>15</v>
      </c>
      <c r="C21" t="s">
        <v>34</v>
      </c>
      <c r="D21" t="s">
        <v>68</v>
      </c>
    </row>
    <row r="22" spans="1:14" x14ac:dyDescent="0.25">
      <c r="A22" s="45" t="s">
        <v>36</v>
      </c>
      <c r="B22" s="38">
        <f>Q2./B29/3600</f>
        <v>7.639437268410977</v>
      </c>
      <c r="C22" t="s">
        <v>34</v>
      </c>
      <c r="D22" t="s">
        <v>69</v>
      </c>
    </row>
    <row r="23" spans="1:14" x14ac:dyDescent="0.25">
      <c r="A23" s="33" t="s">
        <v>38</v>
      </c>
      <c r="B23" s="38">
        <f>0.5*(I35*B35+I36*B36)</f>
        <v>193.64916731037084</v>
      </c>
      <c r="C23" t="s">
        <v>7</v>
      </c>
      <c r="D23" t="s">
        <v>75</v>
      </c>
    </row>
    <row r="24" spans="1:14" x14ac:dyDescent="0.25">
      <c r="A24" s="33" t="s">
        <v>81</v>
      </c>
      <c r="B24" s="38">
        <f>0.5*(H35*B35+H36*B36)</f>
        <v>107.5828707279838</v>
      </c>
      <c r="C24" t="s">
        <v>7</v>
      </c>
      <c r="D24" t="s">
        <v>74</v>
      </c>
      <c r="I24" s="1"/>
    </row>
    <row r="25" spans="1:14" x14ac:dyDescent="0.25">
      <c r="A25" s="33" t="s">
        <v>82</v>
      </c>
      <c r="B25" s="38">
        <f>rt/ro</f>
        <v>1.8</v>
      </c>
      <c r="D25" t="s">
        <v>80</v>
      </c>
      <c r="I25" s="1"/>
    </row>
    <row r="26" spans="1:14" x14ac:dyDescent="0.25">
      <c r="A26" s="34" t="s">
        <v>39</v>
      </c>
      <c r="B26" s="34">
        <v>5.0000000000000001E-3</v>
      </c>
      <c r="D26" t="s">
        <v>76</v>
      </c>
    </row>
    <row r="27" spans="1:14" x14ac:dyDescent="0.25">
      <c r="A27" s="33" t="s">
        <v>41</v>
      </c>
      <c r="B27" s="39">
        <f>0.000001*(K35*B35*L35*B35+K36*B36*L36*B36)</f>
        <v>1.8518518518518521E-2</v>
      </c>
      <c r="C27" t="s">
        <v>33</v>
      </c>
      <c r="D27" t="s">
        <v>77</v>
      </c>
    </row>
    <row r="28" spans="1:14" x14ac:dyDescent="0.25">
      <c r="A28" s="33" t="s">
        <v>40</v>
      </c>
      <c r="B28" s="39">
        <f>0.000001*PI()*Dc2.*(P35*B35+P36*B36)</f>
        <v>2.3271056693257726</v>
      </c>
      <c r="C28" t="s">
        <v>33</v>
      </c>
      <c r="D28" t="s">
        <v>79</v>
      </c>
    </row>
    <row r="29" spans="1:14" x14ac:dyDescent="0.25">
      <c r="A29" s="33" t="s">
        <v>64</v>
      </c>
      <c r="B29" s="39">
        <f>0.000001*0.25*PI()*(H35*H35*B35+H36*H36*B36)</f>
        <v>3.6361026083215196E-2</v>
      </c>
      <c r="C29" t="s">
        <v>33</v>
      </c>
      <c r="D29" t="s">
        <v>78</v>
      </c>
    </row>
    <row r="30" spans="1:14" x14ac:dyDescent="0.25">
      <c r="A30" s="50" t="s">
        <v>91</v>
      </c>
      <c r="B30" s="40">
        <f>fc*As/Ai</f>
        <v>0.62831853071795851</v>
      </c>
    </row>
    <row r="31" spans="1:14" x14ac:dyDescent="0.25">
      <c r="A31" s="49" t="s">
        <v>90</v>
      </c>
      <c r="B31" s="48">
        <v>1</v>
      </c>
    </row>
    <row r="33" spans="1:16" x14ac:dyDescent="0.25">
      <c r="A33" s="24"/>
      <c r="B33" s="25"/>
      <c r="G33" s="1" t="s">
        <v>42</v>
      </c>
    </row>
    <row r="34" spans="1:16" x14ac:dyDescent="0.25">
      <c r="B34" s="3"/>
      <c r="C34" s="2" t="s">
        <v>3</v>
      </c>
      <c r="D34" s="3"/>
      <c r="G34" s="3" t="s">
        <v>50</v>
      </c>
      <c r="H34" s="3" t="s">
        <v>43</v>
      </c>
      <c r="I34" s="3" t="s">
        <v>63</v>
      </c>
      <c r="J34" s="3" t="s">
        <v>83</v>
      </c>
      <c r="K34" s="3" t="s">
        <v>45</v>
      </c>
      <c r="L34" s="3" t="s">
        <v>46</v>
      </c>
      <c r="M34" s="3" t="s">
        <v>44</v>
      </c>
      <c r="N34" s="3" t="s">
        <v>48</v>
      </c>
      <c r="O34" s="3" t="s">
        <v>49</v>
      </c>
      <c r="P34" s="3" t="s">
        <v>47</v>
      </c>
    </row>
    <row r="35" spans="1:16" x14ac:dyDescent="0.25">
      <c r="A35" s="3">
        <v>1</v>
      </c>
      <c r="B35" s="3">
        <f>IF($I$2=A35,1,0)</f>
        <v>1</v>
      </c>
      <c r="C35" s="4">
        <v>223</v>
      </c>
      <c r="D35" t="s">
        <v>8</v>
      </c>
      <c r="E35" t="s">
        <v>10</v>
      </c>
      <c r="G35" s="17">
        <f>0.375*Dc2.</f>
        <v>161.37430609197571</v>
      </c>
      <c r="H35" s="17">
        <f>0.5*Dc2.</f>
        <v>215.16574145596761</v>
      </c>
      <c r="I35" s="17">
        <f>Dc2.-L35/2</f>
        <v>387.29833462074168</v>
      </c>
      <c r="J35" s="17">
        <f>1000*SQRT(Q2./3600/(ui*0.5*0.2))</f>
        <v>430.33148291193521</v>
      </c>
      <c r="K35" s="17">
        <f>0.5*Dc2.</f>
        <v>215.16574145596761</v>
      </c>
      <c r="L35" s="17">
        <f>0.2*Dc2.</f>
        <v>86.066296582387054</v>
      </c>
      <c r="M35" s="17">
        <f>0.5*Dc2.</f>
        <v>215.16574145596761</v>
      </c>
      <c r="N35" s="17">
        <f>1.5*Dc2.</f>
        <v>645.49722436790285</v>
      </c>
      <c r="O35" s="17">
        <f>2.5*Dc2.</f>
        <v>1075.828707279838</v>
      </c>
      <c r="P35" s="17">
        <f>N35+O35</f>
        <v>1721.3259316477408</v>
      </c>
    </row>
    <row r="36" spans="1:16" x14ac:dyDescent="0.25">
      <c r="A36" s="3">
        <v>2</v>
      </c>
      <c r="B36" s="3">
        <f>IF($I$2=A36,1,0)</f>
        <v>0</v>
      </c>
      <c r="C36" s="4">
        <v>669</v>
      </c>
      <c r="D36" t="s">
        <v>8</v>
      </c>
      <c r="E36" t="s">
        <v>11</v>
      </c>
      <c r="G36" s="17">
        <f>0.375*Dc2.</f>
        <v>161.37430609197571</v>
      </c>
      <c r="H36" s="17">
        <f>0.75*Dc2.</f>
        <v>322.74861218395142</v>
      </c>
      <c r="I36" s="17">
        <f>Dc2.-L36/2</f>
        <v>349.64432986594738</v>
      </c>
      <c r="J36" s="17">
        <f>1000*SQRT(Q2./3600/(ui*0.75*0.375))</f>
        <v>256.60011963983368</v>
      </c>
      <c r="K36" s="17">
        <f>0.75*Dc2.</f>
        <v>322.74861218395142</v>
      </c>
      <c r="L36" s="17">
        <f>0.375*Dc2.</f>
        <v>161.37430609197571</v>
      </c>
      <c r="M36" s="17">
        <f>0.875*Dc2.</f>
        <v>376.54004754794329</v>
      </c>
      <c r="N36" s="17">
        <f>1.5*Dc2.</f>
        <v>645.49722436790285</v>
      </c>
      <c r="O36" s="17">
        <f>2.5*Dc2.</f>
        <v>1075.828707279838</v>
      </c>
      <c r="P36" s="17">
        <f>N36+O36</f>
        <v>1721.3259316477408</v>
      </c>
    </row>
  </sheetData>
  <mergeCells count="6">
    <mergeCell ref="A20:B20"/>
    <mergeCell ref="A2:B2"/>
    <mergeCell ref="L2:M2"/>
    <mergeCell ref="A10:B10"/>
    <mergeCell ref="A14:B14"/>
    <mergeCell ref="I10:J10"/>
  </mergeCells>
  <pageMargins left="0.7" right="0.7" top="0.75" bottom="0.75" header="0.3" footer="0.3"/>
  <pageSetup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Drop Down 3">
              <controlPr locked="0" defaultSize="0" autoLine="0" autoPict="0">
                <anchor moveWithCells="1">
                  <from>
                    <xdr:col>8</xdr:col>
                    <xdr:colOff>9525</xdr:colOff>
                    <xdr:row>1</xdr:row>
                    <xdr:rowOff>0</xdr:rowOff>
                  </from>
                  <to>
                    <xdr:col>10</xdr:col>
                    <xdr:colOff>19050</xdr:colOff>
                    <xdr:row>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B2:H72"/>
  <sheetViews>
    <sheetView showGridLines="0" workbookViewId="0">
      <selection activeCell="G11" sqref="G11"/>
    </sheetView>
  </sheetViews>
  <sheetFormatPr defaultRowHeight="15" x14ac:dyDescent="0.25"/>
  <sheetData>
    <row r="2" spans="2:8" x14ac:dyDescent="0.25">
      <c r="B2" s="26" t="s">
        <v>55</v>
      </c>
      <c r="C2" s="27" t="s">
        <v>56</v>
      </c>
      <c r="D2" s="27" t="s">
        <v>57</v>
      </c>
      <c r="E2" s="27" t="s">
        <v>59</v>
      </c>
      <c r="G2" s="57" t="s">
        <v>58</v>
      </c>
      <c r="H2" s="57"/>
    </row>
    <row r="3" spans="2:8" x14ac:dyDescent="0.25">
      <c r="B3" s="23">
        <v>0.223</v>
      </c>
      <c r="C3" s="17">
        <v>5.53</v>
      </c>
      <c r="D3" s="17">
        <f t="shared" ref="D3:D34" si="0">1/(A.+(B./B3)^n)</f>
        <v>7.0848110012669503</v>
      </c>
      <c r="E3" s="30">
        <f>(D3-C3)^2</f>
        <v>2.4174372496607357</v>
      </c>
      <c r="G3" s="19" t="s">
        <v>72</v>
      </c>
      <c r="H3" s="46">
        <v>1.0064765408327894E-2</v>
      </c>
    </row>
    <row r="4" spans="2:8" x14ac:dyDescent="0.25">
      <c r="B4" s="23">
        <v>0.223</v>
      </c>
      <c r="C4" s="17">
        <v>5.96</v>
      </c>
      <c r="D4" s="17">
        <f t="shared" si="0"/>
        <v>7.0848110012669503</v>
      </c>
      <c r="E4" s="30">
        <f t="shared" ref="E4:E67" si="1">(D4-C4)^2</f>
        <v>1.2651997885711592</v>
      </c>
      <c r="G4" s="20" t="s">
        <v>73</v>
      </c>
      <c r="H4" s="46">
        <v>5.3547809331522242E-2</v>
      </c>
    </row>
    <row r="5" spans="2:8" x14ac:dyDescent="0.25">
      <c r="B5" s="23">
        <v>0.223</v>
      </c>
      <c r="C5" s="17">
        <v>6.81</v>
      </c>
      <c r="D5" s="17">
        <f t="shared" si="0"/>
        <v>7.0848110012669503</v>
      </c>
      <c r="E5" s="30">
        <f t="shared" si="1"/>
        <v>7.5521086417343966E-2</v>
      </c>
      <c r="G5" s="4" t="s">
        <v>89</v>
      </c>
      <c r="H5" s="46">
        <v>1.4243198163741693</v>
      </c>
    </row>
    <row r="6" spans="2:8" x14ac:dyDescent="0.25">
      <c r="B6" s="23">
        <v>0.223</v>
      </c>
      <c r="C6" s="17">
        <v>8.09</v>
      </c>
      <c r="D6" s="17">
        <f t="shared" si="0"/>
        <v>7.0848110012669503</v>
      </c>
      <c r="E6" s="30">
        <f t="shared" si="1"/>
        <v>1.0104049231739507</v>
      </c>
    </row>
    <row r="7" spans="2:8" x14ac:dyDescent="0.25">
      <c r="B7" s="23">
        <v>0.223</v>
      </c>
      <c r="C7" s="17">
        <v>9.7899999999999991</v>
      </c>
      <c r="D7" s="17">
        <f t="shared" si="0"/>
        <v>7.0848110012669503</v>
      </c>
      <c r="E7" s="30">
        <f t="shared" si="1"/>
        <v>7.3180475188663152</v>
      </c>
    </row>
    <row r="8" spans="2:8" x14ac:dyDescent="0.25">
      <c r="B8" s="23">
        <v>0.44600000000000001</v>
      </c>
      <c r="C8" s="17">
        <v>14</v>
      </c>
      <c r="D8" s="17">
        <f t="shared" si="0"/>
        <v>16.976384117071319</v>
      </c>
      <c r="E8" s="30">
        <f t="shared" si="1"/>
        <v>8.8588624123544157</v>
      </c>
    </row>
    <row r="9" spans="2:8" x14ac:dyDescent="0.25">
      <c r="B9" s="23">
        <v>0.44600000000000001</v>
      </c>
      <c r="C9" s="17">
        <v>14.5</v>
      </c>
      <c r="D9" s="17">
        <f t="shared" si="0"/>
        <v>16.976384117071319</v>
      </c>
      <c r="E9" s="30">
        <f t="shared" si="1"/>
        <v>6.1324782952830974</v>
      </c>
    </row>
    <row r="10" spans="2:8" x14ac:dyDescent="0.25">
      <c r="B10" s="23">
        <v>0.44600000000000001</v>
      </c>
      <c r="C10" s="17">
        <v>17.399999999999999</v>
      </c>
      <c r="D10" s="17">
        <f t="shared" si="0"/>
        <v>16.976384117071319</v>
      </c>
      <c r="E10" s="30">
        <f t="shared" si="1"/>
        <v>0.17945041626944458</v>
      </c>
    </row>
    <row r="11" spans="2:8" x14ac:dyDescent="0.25">
      <c r="B11" s="23">
        <v>0.44600000000000001</v>
      </c>
      <c r="C11" s="17">
        <v>18.3</v>
      </c>
      <c r="D11" s="17">
        <f t="shared" si="0"/>
        <v>16.976384117071319</v>
      </c>
      <c r="E11" s="30">
        <f t="shared" si="1"/>
        <v>1.751959005541073</v>
      </c>
    </row>
    <row r="12" spans="2:8" x14ac:dyDescent="0.25">
      <c r="B12" s="23">
        <v>0.67</v>
      </c>
      <c r="C12" s="17">
        <v>22.6</v>
      </c>
      <c r="D12" s="17">
        <f t="shared" si="0"/>
        <v>26.72339446157919</v>
      </c>
      <c r="E12" s="30">
        <f t="shared" si="1"/>
        <v>17.002381885781926</v>
      </c>
    </row>
    <row r="13" spans="2:8" x14ac:dyDescent="0.25">
      <c r="B13" s="23">
        <v>0.67</v>
      </c>
      <c r="C13" s="17">
        <v>23.4</v>
      </c>
      <c r="D13" s="17">
        <f t="shared" si="0"/>
        <v>26.72339446157919</v>
      </c>
      <c r="E13" s="30">
        <f t="shared" si="1"/>
        <v>11.044950747255243</v>
      </c>
    </row>
    <row r="14" spans="2:8" x14ac:dyDescent="0.25">
      <c r="B14" s="23">
        <v>0.67</v>
      </c>
      <c r="C14" s="17">
        <v>24.7</v>
      </c>
      <c r="D14" s="17">
        <f t="shared" si="0"/>
        <v>26.72339446157919</v>
      </c>
      <c r="E14" s="30">
        <f t="shared" si="1"/>
        <v>4.0941251471493425</v>
      </c>
    </row>
    <row r="15" spans="2:8" x14ac:dyDescent="0.25">
      <c r="B15" s="23">
        <v>0.67</v>
      </c>
      <c r="C15" s="17">
        <v>26</v>
      </c>
      <c r="D15" s="17">
        <f t="shared" si="0"/>
        <v>26.72339446157919</v>
      </c>
      <c r="E15" s="30">
        <f t="shared" si="1"/>
        <v>0.52329954704344595</v>
      </c>
    </row>
    <row r="16" spans="2:8" x14ac:dyDescent="0.25">
      <c r="B16" s="23">
        <v>0.67</v>
      </c>
      <c r="C16" s="17">
        <v>27.7</v>
      </c>
      <c r="D16" s="17">
        <f t="shared" si="0"/>
        <v>26.72339446157919</v>
      </c>
      <c r="E16" s="30">
        <f t="shared" si="1"/>
        <v>0.95375837767419913</v>
      </c>
    </row>
    <row r="17" spans="2:5" x14ac:dyDescent="0.25">
      <c r="B17" s="23">
        <v>0.67</v>
      </c>
      <c r="C17" s="17">
        <v>28.9</v>
      </c>
      <c r="D17" s="17">
        <f t="shared" si="0"/>
        <v>26.72339446157919</v>
      </c>
      <c r="E17" s="30">
        <f t="shared" si="1"/>
        <v>4.7376116698841386</v>
      </c>
    </row>
    <row r="18" spans="2:5" x14ac:dyDescent="0.25">
      <c r="B18" s="23">
        <v>0.67</v>
      </c>
      <c r="C18" s="17">
        <v>30.2</v>
      </c>
      <c r="D18" s="17">
        <f t="shared" si="0"/>
        <v>26.72339446157919</v>
      </c>
      <c r="E18" s="30">
        <f t="shared" si="1"/>
        <v>12.086786069778245</v>
      </c>
    </row>
    <row r="19" spans="2:5" x14ac:dyDescent="0.25">
      <c r="B19" s="23">
        <v>0.67</v>
      </c>
      <c r="C19" s="17">
        <v>31.9</v>
      </c>
      <c r="D19" s="17">
        <f t="shared" si="0"/>
        <v>26.72339446157919</v>
      </c>
      <c r="E19" s="30">
        <f t="shared" si="1"/>
        <v>26.797244900408991</v>
      </c>
    </row>
    <row r="20" spans="2:5" x14ac:dyDescent="0.25">
      <c r="B20" s="23">
        <v>0.89300000000000002</v>
      </c>
      <c r="C20" s="17">
        <v>36.200000000000003</v>
      </c>
      <c r="D20" s="17">
        <f t="shared" si="0"/>
        <v>35.418907603891348</v>
      </c>
      <c r="E20" s="30">
        <f t="shared" si="1"/>
        <v>0.6101053312587591</v>
      </c>
    </row>
    <row r="21" spans="2:5" x14ac:dyDescent="0.25">
      <c r="B21" s="23">
        <v>0.89300000000000002</v>
      </c>
      <c r="C21" s="17">
        <v>36.6</v>
      </c>
      <c r="D21" s="17">
        <f t="shared" si="0"/>
        <v>35.418907603891348</v>
      </c>
      <c r="E21" s="30">
        <f t="shared" si="1"/>
        <v>1.3949792481456793</v>
      </c>
    </row>
    <row r="22" spans="2:5" x14ac:dyDescent="0.25">
      <c r="B22" s="23">
        <v>1.1200000000000001</v>
      </c>
      <c r="C22" s="17">
        <v>40.9</v>
      </c>
      <c r="D22" s="17">
        <f t="shared" si="0"/>
        <v>43.059534392000025</v>
      </c>
      <c r="E22" s="30">
        <f t="shared" si="1"/>
        <v>4.6635887902309223</v>
      </c>
    </row>
    <row r="23" spans="2:5" x14ac:dyDescent="0.25">
      <c r="B23" s="23">
        <v>1.1200000000000001</v>
      </c>
      <c r="C23" s="17">
        <v>44.7</v>
      </c>
      <c r="D23" s="17">
        <f t="shared" si="0"/>
        <v>43.059534392000025</v>
      </c>
      <c r="E23" s="30">
        <f t="shared" si="1"/>
        <v>2.6911274110307382</v>
      </c>
    </row>
    <row r="24" spans="2:5" x14ac:dyDescent="0.25">
      <c r="B24" s="23">
        <v>1.34</v>
      </c>
      <c r="C24" s="17">
        <v>48.9</v>
      </c>
      <c r="D24" s="17">
        <f t="shared" si="0"/>
        <v>49.364831863459614</v>
      </c>
      <c r="E24" s="30">
        <f t="shared" si="1"/>
        <v>0.21606866128733829</v>
      </c>
    </row>
    <row r="25" spans="2:5" x14ac:dyDescent="0.25">
      <c r="B25" s="23">
        <v>1.34</v>
      </c>
      <c r="C25" s="17">
        <v>49.8</v>
      </c>
      <c r="D25" s="17">
        <f t="shared" si="0"/>
        <v>49.364831863459614</v>
      </c>
      <c r="E25" s="30">
        <f t="shared" si="1"/>
        <v>0.1893713070600298</v>
      </c>
    </row>
    <row r="26" spans="2:5" x14ac:dyDescent="0.25">
      <c r="B26" s="23">
        <v>1.56</v>
      </c>
      <c r="C26" s="17">
        <v>54</v>
      </c>
      <c r="D26" s="17">
        <f t="shared" si="0"/>
        <v>54.725513386336957</v>
      </c>
      <c r="E26" s="30">
        <f t="shared" si="1"/>
        <v>0.52636967375411792</v>
      </c>
    </row>
    <row r="27" spans="2:5" x14ac:dyDescent="0.25">
      <c r="B27" s="23">
        <v>1.56</v>
      </c>
      <c r="C27" s="17">
        <v>55.7</v>
      </c>
      <c r="D27" s="17">
        <f t="shared" si="0"/>
        <v>54.725513386336957</v>
      </c>
      <c r="E27" s="30">
        <f t="shared" si="1"/>
        <v>0.94962416020847129</v>
      </c>
    </row>
    <row r="28" spans="2:5" x14ac:dyDescent="0.25">
      <c r="B28" s="23">
        <v>1.79</v>
      </c>
      <c r="C28" s="17">
        <v>59.1</v>
      </c>
      <c r="D28" s="17">
        <f t="shared" si="0"/>
        <v>59.478451868652236</v>
      </c>
      <c r="E28" s="30">
        <f t="shared" si="1"/>
        <v>0.14322581688636829</v>
      </c>
    </row>
    <row r="29" spans="2:5" x14ac:dyDescent="0.25">
      <c r="B29" s="23">
        <v>2.0099999999999998</v>
      </c>
      <c r="C29" s="17">
        <v>62.1</v>
      </c>
      <c r="D29" s="17">
        <f t="shared" si="0"/>
        <v>63.34813063162094</v>
      </c>
      <c r="E29" s="30">
        <f t="shared" si="1"/>
        <v>1.5578300735904826</v>
      </c>
    </row>
    <row r="30" spans="2:5" x14ac:dyDescent="0.25">
      <c r="B30" s="23">
        <v>2.23</v>
      </c>
      <c r="C30" s="17">
        <v>65.5</v>
      </c>
      <c r="D30" s="17">
        <f t="shared" si="0"/>
        <v>66.670893679213862</v>
      </c>
      <c r="E30" s="30">
        <f t="shared" si="1"/>
        <v>1.3709920080229734</v>
      </c>
    </row>
    <row r="31" spans="2:5" x14ac:dyDescent="0.25">
      <c r="B31" s="23">
        <v>2.46</v>
      </c>
      <c r="C31" s="17">
        <v>68.900000000000006</v>
      </c>
      <c r="D31" s="17">
        <f t="shared" si="0"/>
        <v>69.660989837340679</v>
      </c>
      <c r="E31" s="30">
        <f t="shared" si="1"/>
        <v>0.57910553253578489</v>
      </c>
    </row>
    <row r="32" spans="2:5" x14ac:dyDescent="0.25">
      <c r="B32" s="23">
        <v>2.68</v>
      </c>
      <c r="C32" s="17">
        <v>71.900000000000006</v>
      </c>
      <c r="D32" s="17">
        <f t="shared" si="0"/>
        <v>72.137235979162639</v>
      </c>
      <c r="E32" s="30">
        <f t="shared" si="1"/>
        <v>5.6280909809253585E-2</v>
      </c>
    </row>
    <row r="33" spans="2:5" x14ac:dyDescent="0.25">
      <c r="B33" s="23">
        <v>2.9</v>
      </c>
      <c r="C33" s="17">
        <v>74.5</v>
      </c>
      <c r="D33" s="17">
        <f t="shared" si="0"/>
        <v>74.3007115143633</v>
      </c>
      <c r="E33" s="30">
        <f t="shared" si="1"/>
        <v>3.9715900507369131E-2</v>
      </c>
    </row>
    <row r="34" spans="2:5" x14ac:dyDescent="0.25">
      <c r="B34" s="23">
        <v>3.13</v>
      </c>
      <c r="C34" s="17">
        <v>77.400000000000006</v>
      </c>
      <c r="D34" s="17">
        <f t="shared" si="0"/>
        <v>76.282250255089536</v>
      </c>
      <c r="E34" s="30">
        <f t="shared" si="1"/>
        <v>1.249364492247419</v>
      </c>
    </row>
    <row r="35" spans="2:5" x14ac:dyDescent="0.25">
      <c r="B35" s="23">
        <v>3.35</v>
      </c>
      <c r="C35" s="17">
        <v>79.599999999999994</v>
      </c>
      <c r="D35" s="17">
        <f t="shared" ref="D35:D70" si="2">1/(A.+(B./B35)^n)</f>
        <v>77.951685050464562</v>
      </c>
      <c r="E35" s="30">
        <f t="shared" si="1"/>
        <v>2.7169421728619958</v>
      </c>
    </row>
    <row r="36" spans="2:5" x14ac:dyDescent="0.25">
      <c r="B36" s="23">
        <v>4.0199999999999996</v>
      </c>
      <c r="C36" s="17">
        <v>83.8</v>
      </c>
      <c r="D36" s="17">
        <f t="shared" si="2"/>
        <v>81.991482426458802</v>
      </c>
      <c r="E36" s="30">
        <f t="shared" si="1"/>
        <v>3.2707358138073324</v>
      </c>
    </row>
    <row r="37" spans="2:5" x14ac:dyDescent="0.25">
      <c r="B37" s="23">
        <v>4.46</v>
      </c>
      <c r="C37" s="17">
        <v>85.1</v>
      </c>
      <c r="D37" s="17">
        <f t="shared" si="2"/>
        <v>84.010635823331114</v>
      </c>
      <c r="E37" s="30">
        <f t="shared" si="1"/>
        <v>1.1867143094094672</v>
      </c>
    </row>
    <row r="38" spans="2:5" x14ac:dyDescent="0.25">
      <c r="B38" s="23">
        <v>5.8</v>
      </c>
      <c r="C38" s="17">
        <v>88.5</v>
      </c>
      <c r="D38" s="17">
        <f t="shared" si="2"/>
        <v>88.266132968181267</v>
      </c>
      <c r="E38" s="30">
        <f t="shared" si="1"/>
        <v>5.469378857170408E-2</v>
      </c>
    </row>
    <row r="39" spans="2:5" x14ac:dyDescent="0.25">
      <c r="B39" s="23">
        <v>7.59</v>
      </c>
      <c r="C39" s="17">
        <v>91.1</v>
      </c>
      <c r="D39" s="17">
        <f t="shared" si="2"/>
        <v>91.517252294507685</v>
      </c>
      <c r="E39" s="30">
        <f t="shared" si="1"/>
        <v>0.17409947727193259</v>
      </c>
    </row>
    <row r="40" spans="2:5" x14ac:dyDescent="0.25">
      <c r="B40" s="23">
        <v>8.7100000000000009</v>
      </c>
      <c r="C40" s="17">
        <v>91.9</v>
      </c>
      <c r="D40" s="17">
        <f t="shared" si="2"/>
        <v>92.82102799437385</v>
      </c>
      <c r="E40" s="30">
        <f t="shared" si="1"/>
        <v>0.84829256642030593</v>
      </c>
    </row>
    <row r="41" spans="2:5" x14ac:dyDescent="0.25">
      <c r="B41" s="23">
        <v>10.9</v>
      </c>
      <c r="C41" s="17">
        <v>93.2</v>
      </c>
      <c r="D41" s="17">
        <f t="shared" si="2"/>
        <v>94.521248312211696</v>
      </c>
      <c r="E41" s="30">
        <f t="shared" si="1"/>
        <v>1.745697102522249</v>
      </c>
    </row>
    <row r="42" spans="2:5" x14ac:dyDescent="0.25">
      <c r="B42" s="23">
        <v>12.9</v>
      </c>
      <c r="C42" s="17">
        <v>94</v>
      </c>
      <c r="D42" s="17">
        <f t="shared" si="2"/>
        <v>95.512854416788755</v>
      </c>
      <c r="E42" s="30">
        <f t="shared" si="1"/>
        <v>2.2887284863972455</v>
      </c>
    </row>
    <row r="43" spans="2:5" x14ac:dyDescent="0.25">
      <c r="B43" s="23">
        <v>15.2</v>
      </c>
      <c r="C43" s="17">
        <v>94.9</v>
      </c>
      <c r="D43" s="17">
        <f t="shared" si="2"/>
        <v>96.289103219038665</v>
      </c>
      <c r="E43" s="30">
        <f t="shared" si="1"/>
        <v>1.9296077531435665</v>
      </c>
    </row>
    <row r="44" spans="2:5" x14ac:dyDescent="0.25">
      <c r="B44" s="23">
        <v>17</v>
      </c>
      <c r="C44" s="17">
        <v>95.3</v>
      </c>
      <c r="D44" s="17">
        <f t="shared" si="2"/>
        <v>96.729135882984139</v>
      </c>
      <c r="E44" s="30">
        <f t="shared" si="1"/>
        <v>2.0424293720328617</v>
      </c>
    </row>
    <row r="45" spans="2:5" x14ac:dyDescent="0.25">
      <c r="B45" s="23">
        <v>18.5</v>
      </c>
      <c r="C45" s="17">
        <v>95.7</v>
      </c>
      <c r="D45" s="17">
        <f t="shared" si="2"/>
        <v>97.020246156355242</v>
      </c>
      <c r="E45" s="30">
        <f t="shared" si="1"/>
        <v>1.7430499133707822</v>
      </c>
    </row>
    <row r="46" spans="2:5" x14ac:dyDescent="0.25">
      <c r="B46" s="23">
        <v>20.100000000000001</v>
      </c>
      <c r="C46" s="17">
        <v>96.2</v>
      </c>
      <c r="D46" s="17">
        <f t="shared" si="2"/>
        <v>97.275131344591102</v>
      </c>
      <c r="E46" s="30">
        <f t="shared" si="1"/>
        <v>1.1559074081222656</v>
      </c>
    </row>
    <row r="47" spans="2:5" x14ac:dyDescent="0.25">
      <c r="B47" s="23">
        <v>22.3</v>
      </c>
      <c r="C47" s="17">
        <v>96.6</v>
      </c>
      <c r="D47" s="17">
        <f t="shared" si="2"/>
        <v>97.556169989733888</v>
      </c>
      <c r="E47" s="30">
        <f t="shared" si="1"/>
        <v>0.91426104926771501</v>
      </c>
    </row>
    <row r="48" spans="2:5" x14ac:dyDescent="0.25">
      <c r="B48" s="23">
        <v>24.3</v>
      </c>
      <c r="C48" s="17">
        <v>97</v>
      </c>
      <c r="D48" s="17">
        <f t="shared" si="2"/>
        <v>97.760144328999516</v>
      </c>
      <c r="E48" s="30">
        <f t="shared" si="1"/>
        <v>0.5778194009101244</v>
      </c>
    </row>
    <row r="49" spans="2:5" x14ac:dyDescent="0.25">
      <c r="B49" s="23">
        <v>26.1</v>
      </c>
      <c r="C49" s="17">
        <v>97.4</v>
      </c>
      <c r="D49" s="17">
        <f t="shared" si="2"/>
        <v>97.912382984793965</v>
      </c>
      <c r="E49" s="30">
        <f t="shared" si="1"/>
        <v>0.26253632310636638</v>
      </c>
    </row>
    <row r="50" spans="2:5" x14ac:dyDescent="0.25">
      <c r="B50" s="23">
        <v>26.8</v>
      </c>
      <c r="C50" s="17">
        <v>97.4</v>
      </c>
      <c r="D50" s="17">
        <f t="shared" si="2"/>
        <v>97.965060645794594</v>
      </c>
      <c r="E50" s="30">
        <f t="shared" si="1"/>
        <v>0.31929353342579725</v>
      </c>
    </row>
    <row r="51" spans="2:5" x14ac:dyDescent="0.25">
      <c r="B51" s="23">
        <v>29</v>
      </c>
      <c r="C51" s="17">
        <v>97.9</v>
      </c>
      <c r="D51" s="17">
        <f t="shared" si="2"/>
        <v>98.11109971526237</v>
      </c>
      <c r="E51" s="30">
        <f t="shared" si="1"/>
        <v>4.456308978385113E-2</v>
      </c>
    </row>
    <row r="52" spans="2:5" x14ac:dyDescent="0.25">
      <c r="B52" s="23">
        <v>31.3</v>
      </c>
      <c r="C52" s="17">
        <v>98.3</v>
      </c>
      <c r="D52" s="17">
        <f t="shared" si="2"/>
        <v>98.237941890647818</v>
      </c>
      <c r="E52" s="30">
        <f t="shared" si="1"/>
        <v>3.8512089363670387E-3</v>
      </c>
    </row>
    <row r="53" spans="2:5" x14ac:dyDescent="0.25">
      <c r="B53" s="23">
        <v>32.1</v>
      </c>
      <c r="C53" s="17">
        <v>98.3</v>
      </c>
      <c r="D53" s="17">
        <f t="shared" si="2"/>
        <v>98.277007830364397</v>
      </c>
      <c r="E53" s="30">
        <f t="shared" si="1"/>
        <v>5.2863986455221283E-4</v>
      </c>
    </row>
    <row r="54" spans="2:5" x14ac:dyDescent="0.25">
      <c r="B54" s="23">
        <v>32.799999999999997</v>
      </c>
      <c r="C54" s="17">
        <v>98.3</v>
      </c>
      <c r="D54" s="17">
        <f t="shared" si="2"/>
        <v>98.309328175913862</v>
      </c>
      <c r="E54" s="30">
        <f t="shared" si="1"/>
        <v>8.7014865880007605E-5</v>
      </c>
    </row>
    <row r="55" spans="2:5" x14ac:dyDescent="0.25">
      <c r="B55" s="23">
        <v>33</v>
      </c>
      <c r="C55" s="17">
        <v>98.3</v>
      </c>
      <c r="D55" s="17">
        <f t="shared" si="2"/>
        <v>98.318261755822377</v>
      </c>
      <c r="E55" s="30">
        <f t="shared" si="1"/>
        <v>3.3349172571621721E-4</v>
      </c>
    </row>
    <row r="56" spans="2:5" x14ac:dyDescent="0.25">
      <c r="B56" s="23">
        <v>33.5</v>
      </c>
      <c r="C56" s="17">
        <v>98.3</v>
      </c>
      <c r="D56" s="17">
        <f t="shared" si="2"/>
        <v>98.340038253196241</v>
      </c>
      <c r="E56" s="30">
        <f t="shared" si="1"/>
        <v>1.6030617190065065E-3</v>
      </c>
    </row>
    <row r="57" spans="2:5" x14ac:dyDescent="0.25">
      <c r="B57" s="23">
        <v>34.200000000000003</v>
      </c>
      <c r="C57" s="17">
        <v>98.3</v>
      </c>
      <c r="D57" s="17">
        <f t="shared" si="2"/>
        <v>98.369248938919327</v>
      </c>
      <c r="E57" s="30">
        <f t="shared" si="1"/>
        <v>4.7954155414530715E-3</v>
      </c>
    </row>
    <row r="58" spans="2:5" x14ac:dyDescent="0.25">
      <c r="B58" s="23">
        <v>36.200000000000003</v>
      </c>
      <c r="C58" s="17">
        <v>98.7</v>
      </c>
      <c r="D58" s="17">
        <f t="shared" si="2"/>
        <v>98.445313905561491</v>
      </c>
      <c r="E58" s="30">
        <f t="shared" si="1"/>
        <v>6.4865006700342467E-2</v>
      </c>
    </row>
    <row r="59" spans="2:5" x14ac:dyDescent="0.25">
      <c r="B59" s="23">
        <v>36.6</v>
      </c>
      <c r="C59" s="17">
        <v>98.7</v>
      </c>
      <c r="D59" s="17">
        <f t="shared" si="2"/>
        <v>98.459337205034501</v>
      </c>
      <c r="E59" s="30">
        <f t="shared" si="1"/>
        <v>5.7918580880607161E-2</v>
      </c>
    </row>
    <row r="60" spans="2:5" x14ac:dyDescent="0.25">
      <c r="B60" s="23">
        <v>37.1</v>
      </c>
      <c r="C60" s="17">
        <v>98.7</v>
      </c>
      <c r="D60" s="17">
        <f t="shared" si="2"/>
        <v>98.476357623487587</v>
      </c>
      <c r="E60" s="30">
        <f t="shared" si="1"/>
        <v>5.0015912572121152E-2</v>
      </c>
    </row>
    <row r="61" spans="2:5" x14ac:dyDescent="0.25">
      <c r="B61" s="23">
        <v>37.5</v>
      </c>
      <c r="C61" s="17">
        <v>98.7</v>
      </c>
      <c r="D61" s="17">
        <f t="shared" si="2"/>
        <v>98.489582871220023</v>
      </c>
      <c r="E61" s="30">
        <f t="shared" si="1"/>
        <v>4.4275368084010724E-2</v>
      </c>
    </row>
    <row r="62" spans="2:5" x14ac:dyDescent="0.25">
      <c r="B62" s="23">
        <v>39.700000000000003</v>
      </c>
      <c r="C62" s="17">
        <v>99.1</v>
      </c>
      <c r="D62" s="17">
        <f t="shared" si="2"/>
        <v>98.556651774547731</v>
      </c>
      <c r="E62" s="30">
        <f t="shared" si="1"/>
        <v>0.29522729410212323</v>
      </c>
    </row>
    <row r="63" spans="2:5" x14ac:dyDescent="0.25">
      <c r="B63" s="23">
        <v>40.200000000000003</v>
      </c>
      <c r="C63" s="17">
        <v>99.1</v>
      </c>
      <c r="D63" s="17">
        <f t="shared" si="2"/>
        <v>98.570672402374413</v>
      </c>
      <c r="E63" s="30">
        <f t="shared" si="1"/>
        <v>0.28018770560806933</v>
      </c>
    </row>
    <row r="64" spans="2:5" x14ac:dyDescent="0.25">
      <c r="B64" s="23">
        <v>42.4</v>
      </c>
      <c r="C64" s="17">
        <v>99.6</v>
      </c>
      <c r="D64" s="17">
        <f t="shared" si="2"/>
        <v>98.627681616407827</v>
      </c>
      <c r="E64" s="30">
        <f t="shared" si="1"/>
        <v>0.9454030390712852</v>
      </c>
    </row>
    <row r="65" spans="2:5" x14ac:dyDescent="0.25">
      <c r="B65" s="23">
        <v>43.1</v>
      </c>
      <c r="C65" s="17">
        <v>99.6</v>
      </c>
      <c r="D65" s="17">
        <f t="shared" si="2"/>
        <v>98.64436283612072</v>
      </c>
      <c r="E65" s="30">
        <f t="shared" si="1"/>
        <v>0.91324238898722243</v>
      </c>
    </row>
    <row r="66" spans="2:5" x14ac:dyDescent="0.25">
      <c r="B66" s="23">
        <v>43.5</v>
      </c>
      <c r="C66" s="17">
        <v>99.6</v>
      </c>
      <c r="D66" s="17">
        <f t="shared" si="2"/>
        <v>98.65360592546196</v>
      </c>
      <c r="E66" s="30">
        <f t="shared" si="1"/>
        <v>0.89566174432070211</v>
      </c>
    </row>
    <row r="67" spans="2:5" x14ac:dyDescent="0.25">
      <c r="B67" s="23">
        <v>44.2</v>
      </c>
      <c r="C67" s="17">
        <v>99.6</v>
      </c>
      <c r="D67" s="17">
        <f t="shared" si="2"/>
        <v>98.669298746976622</v>
      </c>
      <c r="E67" s="30">
        <f t="shared" si="1"/>
        <v>0.86620482237927476</v>
      </c>
    </row>
    <row r="68" spans="2:5" x14ac:dyDescent="0.25">
      <c r="B68" s="23">
        <v>45.1</v>
      </c>
      <c r="C68" s="17">
        <v>99.6</v>
      </c>
      <c r="D68" s="17">
        <f t="shared" si="2"/>
        <v>98.688617848698343</v>
      </c>
      <c r="E68" s="30">
        <f t="shared" ref="E68:E70" si="3">(D68-C68)^2</f>
        <v>0.83061742571122688</v>
      </c>
    </row>
    <row r="69" spans="2:5" x14ac:dyDescent="0.25">
      <c r="B69" s="23">
        <v>47.3</v>
      </c>
      <c r="C69" s="17">
        <v>100</v>
      </c>
      <c r="D69" s="17">
        <f t="shared" si="2"/>
        <v>98.732148351814971</v>
      </c>
      <c r="E69" s="30">
        <f t="shared" si="3"/>
        <v>1.6074478018054958</v>
      </c>
    </row>
    <row r="70" spans="2:5" x14ac:dyDescent="0.25">
      <c r="B70" s="23">
        <v>47.5</v>
      </c>
      <c r="C70" s="17">
        <v>100</v>
      </c>
      <c r="D70" s="17">
        <f t="shared" si="2"/>
        <v>98.735866037725813</v>
      </c>
      <c r="E70" s="30">
        <f t="shared" si="3"/>
        <v>1.5980346745750349</v>
      </c>
    </row>
    <row r="72" spans="2:5" x14ac:dyDescent="0.25">
      <c r="D72" s="5" t="s">
        <v>60</v>
      </c>
      <c r="E72" s="31">
        <f>SUM(E3:E70)</f>
        <v>152.2229405155648</v>
      </c>
    </row>
  </sheetData>
  <mergeCells count="1">
    <mergeCell ref="G2:H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B2:H48"/>
  <sheetViews>
    <sheetView showGridLines="0" workbookViewId="0">
      <selection activeCell="H9" sqref="H9"/>
    </sheetView>
  </sheetViews>
  <sheetFormatPr defaultRowHeight="15" x14ac:dyDescent="0.25"/>
  <sheetData>
    <row r="2" spans="2:8" x14ac:dyDescent="0.25">
      <c r="B2" s="26" t="s">
        <v>55</v>
      </c>
      <c r="C2" s="27" t="s">
        <v>56</v>
      </c>
      <c r="D2" s="27" t="s">
        <v>57</v>
      </c>
      <c r="E2" s="27" t="s">
        <v>59</v>
      </c>
      <c r="G2" s="57" t="s">
        <v>58</v>
      </c>
      <c r="H2" s="57"/>
    </row>
    <row r="3" spans="2:8" x14ac:dyDescent="0.25">
      <c r="B3" s="23">
        <v>0.223</v>
      </c>
      <c r="C3" s="17">
        <v>1.7</v>
      </c>
      <c r="D3" s="17">
        <f t="shared" ref="D3:D46" si="0">C.*(1-EXP(-D.*B3))</f>
        <v>2.7264914426729994</v>
      </c>
      <c r="E3" s="30">
        <f>(D3-C3)^2</f>
        <v>1.0536846818808956</v>
      </c>
      <c r="G3" s="19" t="s">
        <v>61</v>
      </c>
      <c r="H3" s="21">
        <v>100.00054940896905</v>
      </c>
    </row>
    <row r="4" spans="2:8" x14ac:dyDescent="0.25">
      <c r="B4" s="23">
        <v>0.44600000000000001</v>
      </c>
      <c r="C4" s="17">
        <v>5.53</v>
      </c>
      <c r="D4" s="17">
        <f t="shared" si="0"/>
        <v>5.3786457378912624</v>
      </c>
      <c r="E4" s="30">
        <f t="shared" ref="E4:E46" si="1">(D4-C4)^2</f>
        <v>2.2908112658480508E-2</v>
      </c>
      <c r="G4" s="20" t="s">
        <v>62</v>
      </c>
      <c r="H4" s="21">
        <v>0.12396119045442258</v>
      </c>
    </row>
    <row r="5" spans="2:8" x14ac:dyDescent="0.25">
      <c r="B5" s="23">
        <v>0.67</v>
      </c>
      <c r="C5" s="17">
        <v>9.7899999999999991</v>
      </c>
      <c r="D5" s="17">
        <f t="shared" si="0"/>
        <v>7.9698986066333255</v>
      </c>
      <c r="E5" s="30">
        <f t="shared" si="1"/>
        <v>3.3127690821353069</v>
      </c>
    </row>
    <row r="6" spans="2:8" x14ac:dyDescent="0.25">
      <c r="B6" s="23">
        <v>1.1200000000000001</v>
      </c>
      <c r="C6" s="17">
        <v>14</v>
      </c>
      <c r="D6" s="17">
        <f t="shared" si="0"/>
        <v>12.96304188152436</v>
      </c>
      <c r="E6" s="30">
        <f t="shared" si="1"/>
        <v>1.07528213947254</v>
      </c>
    </row>
    <row r="7" spans="2:8" x14ac:dyDescent="0.25">
      <c r="B7" s="23">
        <v>1.34</v>
      </c>
      <c r="C7" s="17">
        <v>16.2</v>
      </c>
      <c r="D7" s="17">
        <f t="shared" si="0"/>
        <v>15.304607865053754</v>
      </c>
      <c r="E7" s="30">
        <f t="shared" si="1"/>
        <v>0.80172707532359544</v>
      </c>
    </row>
    <row r="8" spans="2:8" x14ac:dyDescent="0.25">
      <c r="B8" s="23">
        <v>1.56</v>
      </c>
      <c r="C8" s="17">
        <v>19.100000000000001</v>
      </c>
      <c r="D8" s="17">
        <f t="shared" si="0"/>
        <v>17.583178808732157</v>
      </c>
      <c r="E8" s="30">
        <f t="shared" si="1"/>
        <v>2.3007465262792026</v>
      </c>
    </row>
    <row r="9" spans="2:8" x14ac:dyDescent="0.25">
      <c r="B9" s="23">
        <v>2.0099999999999998</v>
      </c>
      <c r="C9" s="17">
        <v>23.4</v>
      </c>
      <c r="D9" s="17">
        <f t="shared" si="0"/>
        <v>22.054751444142983</v>
      </c>
      <c r="E9" s="30">
        <f t="shared" si="1"/>
        <v>1.8096936770353853</v>
      </c>
    </row>
    <row r="10" spans="2:8" x14ac:dyDescent="0.25">
      <c r="B10" s="23">
        <v>2.23</v>
      </c>
      <c r="C10" s="17">
        <v>25.5</v>
      </c>
      <c r="D10" s="17">
        <f t="shared" si="0"/>
        <v>24.151723591650082</v>
      </c>
      <c r="E10" s="30">
        <f t="shared" si="1"/>
        <v>1.8178492733129541</v>
      </c>
    </row>
    <row r="11" spans="2:8" x14ac:dyDescent="0.25">
      <c r="B11" s="23">
        <v>2.46</v>
      </c>
      <c r="C11" s="17">
        <v>27.7</v>
      </c>
      <c r="D11" s="17">
        <f t="shared" si="0"/>
        <v>26.283717919127515</v>
      </c>
      <c r="E11" s="30">
        <f t="shared" si="1"/>
        <v>2.0058549326004949</v>
      </c>
    </row>
    <row r="12" spans="2:8" x14ac:dyDescent="0.25">
      <c r="B12" s="23">
        <v>2.68</v>
      </c>
      <c r="C12" s="17">
        <v>29.8</v>
      </c>
      <c r="D12" s="17">
        <f t="shared" si="0"/>
        <v>28.266918379868578</v>
      </c>
      <c r="E12" s="30">
        <f t="shared" si="1"/>
        <v>2.3503392539847883</v>
      </c>
    </row>
    <row r="13" spans="2:8" x14ac:dyDescent="0.25">
      <c r="B13" s="23">
        <v>2.9</v>
      </c>
      <c r="C13" s="17">
        <v>31.9</v>
      </c>
      <c r="D13" s="17">
        <f t="shared" si="0"/>
        <v>30.196764891613249</v>
      </c>
      <c r="E13" s="30">
        <f t="shared" si="1"/>
        <v>2.901009834441223</v>
      </c>
    </row>
    <row r="14" spans="2:8" x14ac:dyDescent="0.25">
      <c r="B14" s="23">
        <v>3.35</v>
      </c>
      <c r="C14" s="17">
        <v>36.200000000000003</v>
      </c>
      <c r="D14" s="17">
        <f t="shared" si="0"/>
        <v>33.9839846296696</v>
      </c>
      <c r="E14" s="30">
        <f t="shared" si="1"/>
        <v>4.9107241215405946</v>
      </c>
    </row>
    <row r="15" spans="2:8" x14ac:dyDescent="0.25">
      <c r="B15" s="23">
        <v>3.79</v>
      </c>
      <c r="C15" s="17">
        <v>39.1</v>
      </c>
      <c r="D15" s="17">
        <f t="shared" si="0"/>
        <v>37.488284987168612</v>
      </c>
      <c r="E15" s="30">
        <f t="shared" si="1"/>
        <v>2.5976252825860859</v>
      </c>
    </row>
    <row r="16" spans="2:8" x14ac:dyDescent="0.25">
      <c r="B16" s="23">
        <v>4.46</v>
      </c>
      <c r="C16" s="17">
        <v>43.4</v>
      </c>
      <c r="D16" s="17">
        <f t="shared" si="0"/>
        <v>42.470421705990638</v>
      </c>
      <c r="E16" s="30">
        <f t="shared" si="1"/>
        <v>0.86411580469335247</v>
      </c>
    </row>
    <row r="17" spans="2:5" x14ac:dyDescent="0.25">
      <c r="B17" s="23">
        <v>5.13</v>
      </c>
      <c r="C17" s="17">
        <v>47.7</v>
      </c>
      <c r="D17" s="17">
        <f t="shared" si="0"/>
        <v>47.055489361411759</v>
      </c>
      <c r="E17" s="30">
        <f t="shared" si="1"/>
        <v>0.41539396325342604</v>
      </c>
    </row>
    <row r="18" spans="2:5" x14ac:dyDescent="0.25">
      <c r="B18" s="23">
        <v>5.36</v>
      </c>
      <c r="C18" s="17">
        <v>48.9</v>
      </c>
      <c r="D18" s="17">
        <f t="shared" si="0"/>
        <v>48.543693911357074</v>
      </c>
      <c r="E18" s="30">
        <f t="shared" si="1"/>
        <v>0.12695402880401929</v>
      </c>
    </row>
    <row r="19" spans="2:5" x14ac:dyDescent="0.25">
      <c r="B19" s="23">
        <v>6.03</v>
      </c>
      <c r="C19" s="17">
        <v>52.8</v>
      </c>
      <c r="D19" s="17">
        <f t="shared" si="0"/>
        <v>52.64473058921525</v>
      </c>
      <c r="E19" s="30">
        <f t="shared" si="1"/>
        <v>2.4108589925442573E-2</v>
      </c>
    </row>
    <row r="20" spans="2:5" x14ac:dyDescent="0.25">
      <c r="B20" s="23">
        <v>6.25</v>
      </c>
      <c r="C20" s="17">
        <v>54</v>
      </c>
      <c r="D20" s="17">
        <f t="shared" si="0"/>
        <v>53.918741962249477</v>
      </c>
      <c r="E20" s="30">
        <f t="shared" si="1"/>
        <v>6.6028686990653824E-3</v>
      </c>
    </row>
    <row r="21" spans="2:5" x14ac:dyDescent="0.25">
      <c r="B21" s="23">
        <v>6.92</v>
      </c>
      <c r="C21" s="17">
        <v>57.4</v>
      </c>
      <c r="D21" s="17">
        <f t="shared" si="0"/>
        <v>57.59139511397121</v>
      </c>
      <c r="E21" s="30">
        <f t="shared" si="1"/>
        <v>3.663208965205289E-2</v>
      </c>
    </row>
    <row r="22" spans="2:5" x14ac:dyDescent="0.25">
      <c r="B22" s="23">
        <v>7.37</v>
      </c>
      <c r="C22" s="17">
        <v>59.6</v>
      </c>
      <c r="D22" s="17">
        <f t="shared" si="0"/>
        <v>59.892313141995309</v>
      </c>
      <c r="E22" s="30">
        <f t="shared" si="1"/>
        <v>8.5446972983169098E-2</v>
      </c>
    </row>
    <row r="23" spans="2:5" x14ac:dyDescent="0.25">
      <c r="B23" s="23">
        <v>8.26</v>
      </c>
      <c r="C23" s="17">
        <v>63.4</v>
      </c>
      <c r="D23" s="17">
        <f t="shared" si="0"/>
        <v>64.081914218212134</v>
      </c>
      <c r="E23" s="30">
        <f t="shared" si="1"/>
        <v>0.4650070009998678</v>
      </c>
    </row>
    <row r="24" spans="2:5" x14ac:dyDescent="0.25">
      <c r="B24" s="23">
        <v>8.93</v>
      </c>
      <c r="C24" s="17">
        <v>66</v>
      </c>
      <c r="D24" s="17">
        <f t="shared" si="0"/>
        <v>66.944577296074272</v>
      </c>
      <c r="E24" s="30">
        <f t="shared" si="1"/>
        <v>0.89222626825898199</v>
      </c>
    </row>
    <row r="25" spans="2:5" x14ac:dyDescent="0.25">
      <c r="B25" s="23">
        <v>9.82</v>
      </c>
      <c r="C25" s="17">
        <v>69.400000000000006</v>
      </c>
      <c r="D25" s="17">
        <f t="shared" si="0"/>
        <v>70.397517370968941</v>
      </c>
      <c r="E25" s="30">
        <f t="shared" si="1"/>
        <v>0.99504090538477741</v>
      </c>
    </row>
    <row r="26" spans="2:5" x14ac:dyDescent="0.25">
      <c r="B26" s="23">
        <v>10.7</v>
      </c>
      <c r="C26" s="17">
        <v>72.3</v>
      </c>
      <c r="D26" s="17">
        <f t="shared" si="0"/>
        <v>73.456888937677036</v>
      </c>
      <c r="E26" s="30">
        <f t="shared" si="1"/>
        <v>1.3383920141195069</v>
      </c>
    </row>
    <row r="27" spans="2:5" x14ac:dyDescent="0.25">
      <c r="B27" s="23">
        <v>11.2</v>
      </c>
      <c r="C27" s="17">
        <v>73.599999999999994</v>
      </c>
      <c r="D27" s="17">
        <f t="shared" si="0"/>
        <v>75.052133065555097</v>
      </c>
      <c r="E27" s="30">
        <f t="shared" si="1"/>
        <v>2.1086904400784596</v>
      </c>
    </row>
    <row r="28" spans="2:5" x14ac:dyDescent="0.25">
      <c r="B28" s="23">
        <v>11.6</v>
      </c>
      <c r="C28" s="17">
        <v>74.900000000000006</v>
      </c>
      <c r="D28" s="17">
        <f t="shared" si="0"/>
        <v>76.259018566195763</v>
      </c>
      <c r="E28" s="30">
        <f t="shared" si="1"/>
        <v>1.8469314632647729</v>
      </c>
    </row>
    <row r="29" spans="2:5" x14ac:dyDescent="0.25">
      <c r="B29" s="23">
        <v>12.7</v>
      </c>
      <c r="C29" s="17">
        <v>77.900000000000006</v>
      </c>
      <c r="D29" s="17">
        <f t="shared" si="0"/>
        <v>79.285332195267131</v>
      </c>
      <c r="E29" s="30">
        <f t="shared" si="1"/>
        <v>1.9191452912436322</v>
      </c>
    </row>
    <row r="30" spans="2:5" x14ac:dyDescent="0.25">
      <c r="B30" s="23">
        <v>14.3</v>
      </c>
      <c r="C30" s="17">
        <v>81.3</v>
      </c>
      <c r="D30" s="17">
        <f t="shared" si="0"/>
        <v>83.012151135701671</v>
      </c>
      <c r="E30" s="30">
        <f t="shared" si="1"/>
        <v>2.931461511484533</v>
      </c>
    </row>
    <row r="31" spans="2:5" x14ac:dyDescent="0.25">
      <c r="B31" s="23">
        <v>15.4</v>
      </c>
      <c r="C31" s="17">
        <v>83.8</v>
      </c>
      <c r="D31" s="17">
        <f t="shared" si="0"/>
        <v>85.177648448025622</v>
      </c>
      <c r="E31" s="30">
        <f t="shared" si="1"/>
        <v>1.8979152463474114</v>
      </c>
    </row>
    <row r="32" spans="2:5" x14ac:dyDescent="0.25">
      <c r="B32" s="23">
        <v>16.100000000000001</v>
      </c>
      <c r="C32" s="17">
        <v>85.1</v>
      </c>
      <c r="D32" s="17">
        <f t="shared" si="0"/>
        <v>86.409648558033808</v>
      </c>
      <c r="E32" s="30">
        <f t="shared" si="1"/>
        <v>1.7151793455600481</v>
      </c>
    </row>
    <row r="33" spans="2:5" x14ac:dyDescent="0.25">
      <c r="B33" s="23">
        <v>17.600000000000001</v>
      </c>
      <c r="C33" s="17">
        <v>87.7</v>
      </c>
      <c r="D33" s="17">
        <f t="shared" si="0"/>
        <v>88.715726381260836</v>
      </c>
      <c r="E33" s="30">
        <f t="shared" si="1"/>
        <v>1.0317000815892281</v>
      </c>
    </row>
    <row r="34" spans="2:5" x14ac:dyDescent="0.25">
      <c r="B34" s="23">
        <v>19.2</v>
      </c>
      <c r="C34" s="17">
        <v>90.2</v>
      </c>
      <c r="D34" s="17">
        <f t="shared" si="0"/>
        <v>90.745948500838551</v>
      </c>
      <c r="E34" s="30">
        <f t="shared" si="1"/>
        <v>0.29805976556785863</v>
      </c>
    </row>
    <row r="35" spans="2:5" x14ac:dyDescent="0.25">
      <c r="B35" s="23">
        <v>21.2</v>
      </c>
      <c r="C35" s="17">
        <v>92.8</v>
      </c>
      <c r="D35" s="17">
        <f t="shared" si="0"/>
        <v>92.778068988629542</v>
      </c>
      <c r="E35" s="30">
        <f t="shared" si="1"/>
        <v>4.8096925973103381E-4</v>
      </c>
    </row>
    <row r="36" spans="2:5" x14ac:dyDescent="0.25">
      <c r="B36" s="23">
        <v>22.1</v>
      </c>
      <c r="C36" s="17">
        <v>93.6</v>
      </c>
      <c r="D36" s="17">
        <f t="shared" si="0"/>
        <v>93.540523225079639</v>
      </c>
      <c r="E36" s="30">
        <f t="shared" si="1"/>
        <v>3.5374867549266319E-3</v>
      </c>
    </row>
    <row r="37" spans="2:5" x14ac:dyDescent="0.25">
      <c r="B37" s="23">
        <v>23</v>
      </c>
      <c r="C37" s="17">
        <v>94.5</v>
      </c>
      <c r="D37" s="17">
        <f t="shared" si="0"/>
        <v>94.222487598096734</v>
      </c>
      <c r="E37" s="30">
        <f t="shared" si="1"/>
        <v>7.7013133210119822E-2</v>
      </c>
    </row>
    <row r="38" spans="2:5" x14ac:dyDescent="0.25">
      <c r="B38" s="23">
        <v>24.6</v>
      </c>
      <c r="C38" s="17">
        <v>95.7</v>
      </c>
      <c r="D38" s="17">
        <f t="shared" si="0"/>
        <v>95.262003137500173</v>
      </c>
      <c r="E38" s="30">
        <f t="shared" si="1"/>
        <v>0.19184125155969484</v>
      </c>
    </row>
    <row r="39" spans="2:5" x14ac:dyDescent="0.25">
      <c r="B39" s="23">
        <v>26.1</v>
      </c>
      <c r="C39" s="17">
        <v>96.6</v>
      </c>
      <c r="D39" s="17">
        <f t="shared" si="0"/>
        <v>96.0660305225</v>
      </c>
      <c r="E39" s="30">
        <f t="shared" si="1"/>
        <v>0.28512340290161675</v>
      </c>
    </row>
    <row r="40" spans="2:5" x14ac:dyDescent="0.25">
      <c r="B40" s="23">
        <v>28.1</v>
      </c>
      <c r="C40" s="17">
        <v>97.4</v>
      </c>
      <c r="D40" s="17">
        <f t="shared" si="0"/>
        <v>96.929970147575574</v>
      </c>
      <c r="E40" s="30">
        <f t="shared" si="1"/>
        <v>0.22092806217013308</v>
      </c>
    </row>
    <row r="41" spans="2:5" x14ac:dyDescent="0.25">
      <c r="B41" s="23">
        <v>29.2</v>
      </c>
      <c r="C41" s="17">
        <v>97.9</v>
      </c>
      <c r="D41" s="17">
        <f t="shared" si="0"/>
        <v>97.321374388921186</v>
      </c>
      <c r="E41" s="30">
        <f t="shared" si="1"/>
        <v>0.33480759779633806</v>
      </c>
    </row>
    <row r="42" spans="2:5" x14ac:dyDescent="0.25">
      <c r="B42" s="23">
        <v>31.5</v>
      </c>
      <c r="C42" s="17">
        <v>98.7</v>
      </c>
      <c r="D42" s="17">
        <f t="shared" si="0"/>
        <v>97.985994704279136</v>
      </c>
      <c r="E42" s="30">
        <f t="shared" si="1"/>
        <v>0.50980356231744228</v>
      </c>
    </row>
    <row r="43" spans="2:5" x14ac:dyDescent="0.25">
      <c r="B43" s="23">
        <v>33.299999999999997</v>
      </c>
      <c r="C43" s="17">
        <v>99.1</v>
      </c>
      <c r="D43" s="17">
        <f t="shared" si="0"/>
        <v>98.388884035352888</v>
      </c>
      <c r="E43" s="30">
        <f t="shared" si="1"/>
        <v>0.50568591517598493</v>
      </c>
    </row>
    <row r="44" spans="2:5" x14ac:dyDescent="0.25">
      <c r="B44" s="23">
        <v>35.5</v>
      </c>
      <c r="C44" s="17">
        <v>99.6</v>
      </c>
      <c r="D44" s="17">
        <f t="shared" si="0"/>
        <v>98.773572411074696</v>
      </c>
      <c r="E44" s="30">
        <f t="shared" si="1"/>
        <v>0.68298255973688227</v>
      </c>
    </row>
    <row r="45" spans="2:5" x14ac:dyDescent="0.25">
      <c r="B45" s="23">
        <v>37.700000000000003</v>
      </c>
      <c r="C45" s="17">
        <v>100</v>
      </c>
      <c r="D45" s="17">
        <f t="shared" si="0"/>
        <v>99.066439526106734</v>
      </c>
      <c r="E45" s="30">
        <f t="shared" si="1"/>
        <v>0.87153515841581919</v>
      </c>
    </row>
    <row r="46" spans="2:5" x14ac:dyDescent="0.25">
      <c r="B46" s="23">
        <v>38.200000000000003</v>
      </c>
      <c r="C46" s="17">
        <v>100</v>
      </c>
      <c r="D46" s="17">
        <f t="shared" si="0"/>
        <v>99.122578479023218</v>
      </c>
      <c r="E46" s="30">
        <f t="shared" si="1"/>
        <v>0.76986852547320905</v>
      </c>
    </row>
    <row r="48" spans="2:5" x14ac:dyDescent="0.25">
      <c r="D48" s="5" t="s">
        <v>60</v>
      </c>
      <c r="E48" s="31">
        <f>SUM(E3:E46)</f>
        <v>50.412825269933059</v>
      </c>
    </row>
  </sheetData>
  <mergeCells count="1">
    <mergeCell ref="G2:H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B2:E5"/>
  <sheetViews>
    <sheetView showGridLines="0" workbookViewId="0">
      <selection activeCell="G14" sqref="G14"/>
    </sheetView>
  </sheetViews>
  <sheetFormatPr defaultRowHeight="15" x14ac:dyDescent="0.25"/>
  <sheetData>
    <row r="2" spans="2:5" ht="15.75" thickBot="1" x14ac:dyDescent="0.3"/>
    <row r="3" spans="2:5" x14ac:dyDescent="0.25">
      <c r="B3" s="58" t="s">
        <v>51</v>
      </c>
      <c r="C3" s="59"/>
      <c r="D3" s="59"/>
      <c r="E3" s="60"/>
    </row>
    <row r="4" spans="2:5" x14ac:dyDescent="0.25">
      <c r="B4" s="10" t="s">
        <v>52</v>
      </c>
      <c r="C4" s="11" t="s">
        <v>53</v>
      </c>
      <c r="D4" s="11"/>
      <c r="E4" s="12"/>
    </row>
    <row r="5" spans="2:5" ht="15.75" thickBot="1" x14ac:dyDescent="0.3">
      <c r="B5" s="13" t="s">
        <v>54</v>
      </c>
      <c r="C5" s="14">
        <v>2017</v>
      </c>
      <c r="D5" s="15"/>
      <c r="E5" s="16"/>
    </row>
  </sheetData>
  <sheetProtection algorithmName="SHA-512" hashValue="qM1nm1Wx3t6vojzoiK7CL8DHDIQiUVYo72MotQbmeK+DSwR/OnT2MGXWvauQIOtOLR/08SFUvwelRbGHRIdtHA==" saltValue="SWX+d6wIdJ8D3NFLgyyBQQ==" spinCount="100000" sheet="1" objects="1" scenarios="1"/>
  <mergeCells count="1">
    <mergeCell ref="B3:E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27</vt:i4>
      </vt:variant>
    </vt:vector>
  </HeadingPairs>
  <TitlesOfParts>
    <vt:vector size="31" baseType="lpstr">
      <vt:lpstr>Cyclone</vt:lpstr>
      <vt:lpstr>High-Efficiency</vt:lpstr>
      <vt:lpstr>High-Throughput</vt:lpstr>
      <vt:lpstr>Credits</vt:lpstr>
      <vt:lpstr>A.</vt:lpstr>
      <vt:lpstr>Ai</vt:lpstr>
      <vt:lpstr>Ao</vt:lpstr>
      <vt:lpstr>As</vt:lpstr>
      <vt:lpstr>B.</vt:lpstr>
      <vt:lpstr>C.</vt:lpstr>
      <vt:lpstr>D.</vt:lpstr>
      <vt:lpstr>d1.</vt:lpstr>
      <vt:lpstr>Dc1.</vt:lpstr>
      <vt:lpstr>Dc2.</vt:lpstr>
      <vt:lpstr>di</vt:lpstr>
      <vt:lpstr>drho1</vt:lpstr>
      <vt:lpstr>drho2</vt:lpstr>
      <vt:lpstr>fc</vt:lpstr>
      <vt:lpstr>mu1.</vt:lpstr>
      <vt:lpstr>mu2.</vt:lpstr>
      <vt:lpstr>n</vt:lpstr>
      <vt:lpstr>phi</vt:lpstr>
      <vt:lpstr>psi</vt:lpstr>
      <vt:lpstr>Q1.</vt:lpstr>
      <vt:lpstr>Q2.</vt:lpstr>
      <vt:lpstr>rho_f</vt:lpstr>
      <vt:lpstr>rho_s</vt:lpstr>
      <vt:lpstr>ro</vt:lpstr>
      <vt:lpstr>rt</vt:lpstr>
      <vt:lpstr>ui</vt:lpstr>
      <vt:lpstr>uo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2017-04-21T22:25:55Z</dcterms:modified>
</cp:coreProperties>
</file>